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6" windowWidth="20112" windowHeight="7428" activeTab="1"/>
  </bookViews>
  <sheets>
    <sheet name="Flujo " sheetId="1" r:id="rId1"/>
    <sheet name="Análisis Sensibilidad" sheetId="4" r:id="rId2"/>
  </sheets>
  <calcPr calcId="145621"/>
</workbook>
</file>

<file path=xl/calcChain.xml><?xml version="1.0" encoding="utf-8"?>
<calcChain xmlns="http://schemas.openxmlformats.org/spreadsheetml/2006/main">
  <c r="G93" i="4" l="1"/>
  <c r="F93" i="4"/>
  <c r="G92" i="4"/>
  <c r="F92" i="4"/>
  <c r="G91" i="4"/>
  <c r="F91" i="4"/>
  <c r="G90" i="4"/>
  <c r="F90" i="4"/>
  <c r="G89" i="4"/>
  <c r="F89" i="4"/>
  <c r="G81" i="4"/>
  <c r="G82" i="4"/>
  <c r="G83" i="4"/>
  <c r="G84" i="4"/>
  <c r="G80" i="4"/>
  <c r="F81" i="4"/>
  <c r="F82" i="4"/>
  <c r="F83" i="4"/>
  <c r="F84" i="4"/>
  <c r="F80" i="4"/>
  <c r="B7" i="4"/>
  <c r="D13" i="4" s="1"/>
  <c r="C35" i="4"/>
  <c r="D35" i="4"/>
  <c r="E35" i="4"/>
  <c r="F35" i="4"/>
  <c r="F33" i="4" s="1"/>
  <c r="G47" i="4" s="1"/>
  <c r="G35" i="4"/>
  <c r="H35" i="4"/>
  <c r="H33" i="4" s="1"/>
  <c r="I47" i="4" s="1"/>
  <c r="I35" i="4"/>
  <c r="J35" i="4"/>
  <c r="J33" i="4" s="1"/>
  <c r="K47" i="4" s="1"/>
  <c r="K35" i="4"/>
  <c r="B35" i="4"/>
  <c r="E34" i="4"/>
  <c r="F34" i="4"/>
  <c r="G34" i="4"/>
  <c r="H34" i="4"/>
  <c r="I34" i="4"/>
  <c r="J34" i="4"/>
  <c r="K34" i="4"/>
  <c r="D34" i="4"/>
  <c r="C34" i="4"/>
  <c r="B34" i="4"/>
  <c r="D32" i="4"/>
  <c r="E32" i="4"/>
  <c r="F32" i="4"/>
  <c r="G32" i="4"/>
  <c r="H32" i="4"/>
  <c r="I32" i="4"/>
  <c r="J32" i="4"/>
  <c r="K32" i="4"/>
  <c r="B32" i="4"/>
  <c r="E46" i="4"/>
  <c r="F46" i="4"/>
  <c r="G46" i="4"/>
  <c r="H46" i="4"/>
  <c r="I46" i="4"/>
  <c r="J46" i="4"/>
  <c r="K46" i="4"/>
  <c r="L46" i="4"/>
  <c r="B51" i="4"/>
  <c r="C40" i="4"/>
  <c r="D49" i="4" s="1"/>
  <c r="D40" i="4"/>
  <c r="E49" i="4" s="1"/>
  <c r="E40" i="4"/>
  <c r="F49" i="4" s="1"/>
  <c r="F40" i="4"/>
  <c r="G49" i="4" s="1"/>
  <c r="G40" i="4"/>
  <c r="H49" i="4" s="1"/>
  <c r="H40" i="4"/>
  <c r="I49" i="4" s="1"/>
  <c r="I40" i="4"/>
  <c r="J49" i="4" s="1"/>
  <c r="J40" i="4"/>
  <c r="K49" i="4" s="1"/>
  <c r="K40" i="4"/>
  <c r="L49" i="4" s="1"/>
  <c r="E33" i="4"/>
  <c r="F47" i="4" s="1"/>
  <c r="G33" i="4"/>
  <c r="H47" i="4" s="1"/>
  <c r="I33" i="4"/>
  <c r="J47" i="4" s="1"/>
  <c r="K33" i="4"/>
  <c r="L47" i="4" s="1"/>
  <c r="B5" i="4"/>
  <c r="B45" i="4" s="1"/>
  <c r="B46" i="4"/>
  <c r="B47" i="4"/>
  <c r="B48" i="4"/>
  <c r="B49" i="4"/>
  <c r="L50" i="4"/>
  <c r="B52" i="4"/>
  <c r="C45" i="4"/>
  <c r="B38" i="4"/>
  <c r="C48" i="4" s="1"/>
  <c r="C38" i="4"/>
  <c r="D48" i="4" s="1"/>
  <c r="D38" i="4"/>
  <c r="E48" i="4" s="1"/>
  <c r="E38" i="4"/>
  <c r="F48" i="4" s="1"/>
  <c r="F38" i="4"/>
  <c r="G48" i="4" s="1"/>
  <c r="G38" i="4"/>
  <c r="H48" i="4" s="1"/>
  <c r="H38" i="4"/>
  <c r="I48" i="4" s="1"/>
  <c r="I38" i="4"/>
  <c r="J48" i="4" s="1"/>
  <c r="J38" i="4"/>
  <c r="K48" i="4" s="1"/>
  <c r="K38" i="4"/>
  <c r="L48" i="4" s="1"/>
  <c r="C39" i="4"/>
  <c r="D39" i="4"/>
  <c r="E39" i="4"/>
  <c r="F39" i="4"/>
  <c r="G39" i="4"/>
  <c r="H39" i="4"/>
  <c r="I39" i="4"/>
  <c r="J39" i="4"/>
  <c r="K39" i="4"/>
  <c r="C41" i="4"/>
  <c r="D41" i="4"/>
  <c r="E41" i="4"/>
  <c r="F41" i="4"/>
  <c r="G41" i="4"/>
  <c r="H41" i="4"/>
  <c r="I41" i="4"/>
  <c r="J41" i="4"/>
  <c r="K41" i="4"/>
  <c r="F58" i="4"/>
  <c r="B9" i="4" l="1"/>
  <c r="C15" i="4" s="1"/>
  <c r="C33" i="4"/>
  <c r="D47" i="4" s="1"/>
  <c r="D33" i="4"/>
  <c r="E47" i="4" s="1"/>
  <c r="B33" i="4"/>
  <c r="C47" i="4" s="1"/>
  <c r="B36" i="4"/>
  <c r="J36" i="4"/>
  <c r="H36" i="4"/>
  <c r="F36" i="4"/>
  <c r="D36" i="4"/>
  <c r="K36" i="4"/>
  <c r="I36" i="4"/>
  <c r="G36" i="4"/>
  <c r="E36" i="4"/>
  <c r="C36" i="4"/>
  <c r="C46" i="4"/>
  <c r="B53" i="4"/>
  <c r="F57" i="4"/>
  <c r="F59" i="4" s="1"/>
  <c r="F61" i="4" s="1"/>
  <c r="B60" i="4"/>
  <c r="F60" i="4" l="1"/>
  <c r="F64" i="4" s="1"/>
  <c r="B58" i="4" s="1"/>
  <c r="C17" i="4"/>
  <c r="C21" i="4"/>
  <c r="C14" i="4"/>
  <c r="C18" i="4"/>
  <c r="C22" i="4"/>
  <c r="C19" i="4"/>
  <c r="C13" i="4"/>
  <c r="E13" i="4" s="1"/>
  <c r="C52" i="4" s="1"/>
  <c r="C16" i="4"/>
  <c r="C20" i="4"/>
  <c r="B39" i="4"/>
  <c r="B40" i="4" s="1"/>
  <c r="C49" i="4" s="1"/>
  <c r="B14" i="4"/>
  <c r="B64" i="4"/>
  <c r="C80" i="1"/>
  <c r="C78" i="1"/>
  <c r="C146" i="1"/>
  <c r="C144" i="1"/>
  <c r="M72" i="1"/>
  <c r="C53" i="4" l="1"/>
  <c r="B41" i="4"/>
  <c r="D14" i="4"/>
  <c r="E14" i="4" s="1"/>
  <c r="D52" i="4" s="1"/>
  <c r="C142" i="1"/>
  <c r="G142" i="1"/>
  <c r="G143" i="1" s="1"/>
  <c r="G145" i="1" s="1"/>
  <c r="G141" i="1"/>
  <c r="B15" i="4" l="1"/>
  <c r="G144" i="1"/>
  <c r="G148" i="1"/>
  <c r="D15" i="4" l="1"/>
  <c r="E15" i="4" s="1"/>
  <c r="E52" i="4" s="1"/>
  <c r="E53" i="4" s="1"/>
  <c r="C135" i="1"/>
  <c r="L117" i="1"/>
  <c r="K117" i="1"/>
  <c r="J117" i="1"/>
  <c r="I117" i="1"/>
  <c r="H117" i="1"/>
  <c r="G117" i="1"/>
  <c r="F117" i="1"/>
  <c r="E117" i="1"/>
  <c r="D117" i="1"/>
  <c r="C117" i="1"/>
  <c r="E97" i="1"/>
  <c r="C122" i="1" s="1"/>
  <c r="D132" i="1" s="1"/>
  <c r="C93" i="1"/>
  <c r="D97" i="1" s="1"/>
  <c r="M69" i="1"/>
  <c r="M131" i="1" s="1"/>
  <c r="L69" i="1"/>
  <c r="L131" i="1" s="1"/>
  <c r="K69" i="1"/>
  <c r="K131" i="1" s="1"/>
  <c r="J69" i="1"/>
  <c r="J131" i="1" s="1"/>
  <c r="I69" i="1"/>
  <c r="I131" i="1" s="1"/>
  <c r="H69" i="1"/>
  <c r="H131" i="1" s="1"/>
  <c r="G69" i="1"/>
  <c r="G131" i="1" s="1"/>
  <c r="F69" i="1"/>
  <c r="F131" i="1" s="1"/>
  <c r="E69" i="1"/>
  <c r="E131" i="1" s="1"/>
  <c r="D69" i="1"/>
  <c r="D131" i="1" s="1"/>
  <c r="D40" i="1"/>
  <c r="C40" i="1"/>
  <c r="E40" i="1" s="1"/>
  <c r="D39" i="1"/>
  <c r="C39" i="1"/>
  <c r="E39" i="1" s="1"/>
  <c r="D38" i="1"/>
  <c r="C38" i="1"/>
  <c r="D37" i="1"/>
  <c r="C37" i="1"/>
  <c r="L31" i="1"/>
  <c r="L58" i="1" s="1"/>
  <c r="L119" i="1" s="1"/>
  <c r="K31" i="1"/>
  <c r="K58" i="1" s="1"/>
  <c r="K119" i="1" s="1"/>
  <c r="J31" i="1"/>
  <c r="J58" i="1" s="1"/>
  <c r="J119" i="1" s="1"/>
  <c r="I31" i="1"/>
  <c r="I58" i="1" s="1"/>
  <c r="I119" i="1" s="1"/>
  <c r="H31" i="1"/>
  <c r="H58" i="1" s="1"/>
  <c r="H119" i="1" s="1"/>
  <c r="G31" i="1"/>
  <c r="G58" i="1" s="1"/>
  <c r="G119" i="1" s="1"/>
  <c r="F31" i="1"/>
  <c r="F58" i="1" s="1"/>
  <c r="F119" i="1" s="1"/>
  <c r="E31" i="1"/>
  <c r="E58" i="1" s="1"/>
  <c r="E119" i="1" s="1"/>
  <c r="D31" i="1"/>
  <c r="D58" i="1" s="1"/>
  <c r="D119" i="1" s="1"/>
  <c r="C31" i="1"/>
  <c r="C58" i="1" s="1"/>
  <c r="C119" i="1" s="1"/>
  <c r="L28" i="1"/>
  <c r="L29" i="1" s="1"/>
  <c r="L51" i="1" s="1"/>
  <c r="K28" i="1"/>
  <c r="K30" i="1" s="1"/>
  <c r="J28" i="1"/>
  <c r="J30" i="1" s="1"/>
  <c r="I28" i="1"/>
  <c r="I30" i="1" s="1"/>
  <c r="H28" i="1"/>
  <c r="H29" i="1" s="1"/>
  <c r="H51" i="1" s="1"/>
  <c r="G28" i="1"/>
  <c r="G30" i="1" s="1"/>
  <c r="F28" i="1"/>
  <c r="F30" i="1" s="1"/>
  <c r="E28" i="1"/>
  <c r="E30" i="1" s="1"/>
  <c r="D28" i="1"/>
  <c r="D29" i="1" s="1"/>
  <c r="D51" i="1" s="1"/>
  <c r="C28" i="1"/>
  <c r="C30" i="1" s="1"/>
  <c r="C57" i="1" s="1"/>
  <c r="C11" i="1"/>
  <c r="E46" i="1" l="1"/>
  <c r="F46" i="1" s="1"/>
  <c r="D112" i="1"/>
  <c r="D54" i="1"/>
  <c r="D115" i="1" s="1"/>
  <c r="D52" i="1"/>
  <c r="F53" i="1"/>
  <c r="F114" i="1" s="1"/>
  <c r="F57" i="1"/>
  <c r="F118" i="1" s="1"/>
  <c r="H112" i="1"/>
  <c r="H54" i="1"/>
  <c r="H115" i="1" s="1"/>
  <c r="H52" i="1"/>
  <c r="J53" i="1"/>
  <c r="J114" i="1" s="1"/>
  <c r="J57" i="1"/>
  <c r="J118" i="1" s="1"/>
  <c r="L112" i="1"/>
  <c r="L54" i="1"/>
  <c r="L115" i="1" s="1"/>
  <c r="L52" i="1"/>
  <c r="C89" i="1"/>
  <c r="C67" i="1"/>
  <c r="F29" i="1"/>
  <c r="F51" i="1" s="1"/>
  <c r="J29" i="1"/>
  <c r="J51" i="1" s="1"/>
  <c r="D30" i="1"/>
  <c r="H30" i="1"/>
  <c r="L30" i="1"/>
  <c r="D98" i="1"/>
  <c r="F97" i="1"/>
  <c r="C118" i="1"/>
  <c r="C53" i="1"/>
  <c r="C114" i="1" s="1"/>
  <c r="E57" i="1"/>
  <c r="E118" i="1" s="1"/>
  <c r="E53" i="1"/>
  <c r="E114" i="1" s="1"/>
  <c r="G57" i="1"/>
  <c r="G118" i="1" s="1"/>
  <c r="G53" i="1"/>
  <c r="G114" i="1" s="1"/>
  <c r="I57" i="1"/>
  <c r="I118" i="1" s="1"/>
  <c r="I53" i="1"/>
  <c r="I114" i="1" s="1"/>
  <c r="K57" i="1"/>
  <c r="K118" i="1" s="1"/>
  <c r="K53" i="1"/>
  <c r="K114" i="1" s="1"/>
  <c r="E37" i="1"/>
  <c r="C29" i="1"/>
  <c r="E29" i="1"/>
  <c r="E51" i="1" s="1"/>
  <c r="G29" i="1"/>
  <c r="G51" i="1" s="1"/>
  <c r="I29" i="1"/>
  <c r="I51" i="1" s="1"/>
  <c r="K29" i="1"/>
  <c r="K51" i="1" s="1"/>
  <c r="B16" i="4" l="1"/>
  <c r="C129" i="1"/>
  <c r="K54" i="1"/>
  <c r="K115" i="1" s="1"/>
  <c r="K52" i="1"/>
  <c r="K112" i="1"/>
  <c r="G54" i="1"/>
  <c r="G115" i="1" s="1"/>
  <c r="G52" i="1"/>
  <c r="G112" i="1"/>
  <c r="C51" i="1"/>
  <c r="E45" i="1"/>
  <c r="F45" i="1" s="1"/>
  <c r="F47" i="1" s="1"/>
  <c r="D67" i="1" s="1"/>
  <c r="D129" i="1" s="1"/>
  <c r="E41" i="1"/>
  <c r="G37" i="1"/>
  <c r="M71" i="1" s="1"/>
  <c r="M134" i="1" s="1"/>
  <c r="D99" i="1"/>
  <c r="H57" i="1"/>
  <c r="H118" i="1" s="1"/>
  <c r="H53" i="1"/>
  <c r="J112" i="1"/>
  <c r="J54" i="1"/>
  <c r="J115" i="1" s="1"/>
  <c r="J52" i="1"/>
  <c r="C137" i="1"/>
  <c r="C72" i="1"/>
  <c r="I112" i="1"/>
  <c r="I54" i="1"/>
  <c r="I115" i="1" s="1"/>
  <c r="I52" i="1"/>
  <c r="E112" i="1"/>
  <c r="E54" i="1"/>
  <c r="E115" i="1" s="1"/>
  <c r="E52" i="1"/>
  <c r="D136" i="1"/>
  <c r="C98" i="1"/>
  <c r="L57" i="1"/>
  <c r="L118" i="1" s="1"/>
  <c r="L53" i="1"/>
  <c r="D57" i="1"/>
  <c r="D118" i="1" s="1"/>
  <c r="D53" i="1"/>
  <c r="F112" i="1"/>
  <c r="F54" i="1"/>
  <c r="F115" i="1" s="1"/>
  <c r="F52" i="1"/>
  <c r="D16" i="4" l="1"/>
  <c r="E16" i="4" s="1"/>
  <c r="F52" i="4" s="1"/>
  <c r="F53" i="4" s="1"/>
  <c r="C148" i="1"/>
  <c r="C82" i="1"/>
  <c r="E55" i="1"/>
  <c r="E116" i="1" s="1"/>
  <c r="F55" i="1"/>
  <c r="F116" i="1" s="1"/>
  <c r="I55" i="1"/>
  <c r="J68" i="1" s="1"/>
  <c r="J55" i="1"/>
  <c r="J116" i="1" s="1"/>
  <c r="K55" i="1"/>
  <c r="L68" i="1" s="1"/>
  <c r="G55" i="1"/>
  <c r="G116" i="1" s="1"/>
  <c r="I116" i="1"/>
  <c r="K68" i="1"/>
  <c r="K116" i="1"/>
  <c r="F68" i="1"/>
  <c r="H114" i="1"/>
  <c r="H55" i="1"/>
  <c r="D114" i="1"/>
  <c r="D55" i="1"/>
  <c r="L114" i="1"/>
  <c r="L55" i="1"/>
  <c r="E98" i="1"/>
  <c r="D100" i="1"/>
  <c r="K60" i="1"/>
  <c r="I60" i="1"/>
  <c r="G60" i="1"/>
  <c r="E60" i="1"/>
  <c r="C60" i="1"/>
  <c r="J60" i="1"/>
  <c r="F60" i="1"/>
  <c r="L60" i="1"/>
  <c r="H60" i="1"/>
  <c r="D60" i="1"/>
  <c r="C54" i="1"/>
  <c r="C115" i="1" s="1"/>
  <c r="C52" i="1"/>
  <c r="C113" i="1" s="1"/>
  <c r="C112" i="1"/>
  <c r="H68" i="1" l="1"/>
  <c r="G68" i="1"/>
  <c r="D121" i="1"/>
  <c r="D59" i="1"/>
  <c r="D61" i="1" s="1"/>
  <c r="L121" i="1"/>
  <c r="L59" i="1"/>
  <c r="L61" i="1" s="1"/>
  <c r="J121" i="1"/>
  <c r="J59" i="1"/>
  <c r="J61" i="1" s="1"/>
  <c r="E121" i="1"/>
  <c r="E59" i="1"/>
  <c r="E61" i="1" s="1"/>
  <c r="I121" i="1"/>
  <c r="I59" i="1"/>
  <c r="I61" i="1" s="1"/>
  <c r="D122" i="1"/>
  <c r="E132" i="1" s="1"/>
  <c r="F98" i="1"/>
  <c r="F130" i="1"/>
  <c r="L130" i="1"/>
  <c r="K130" i="1"/>
  <c r="G130" i="1"/>
  <c r="C55" i="1"/>
  <c r="H121" i="1"/>
  <c r="H59" i="1"/>
  <c r="H61" i="1" s="1"/>
  <c r="F121" i="1"/>
  <c r="F59" i="1"/>
  <c r="F61" i="1" s="1"/>
  <c r="C59" i="1"/>
  <c r="C121" i="1"/>
  <c r="C120" i="1" s="1"/>
  <c r="G121" i="1"/>
  <c r="G59" i="1"/>
  <c r="G61" i="1" s="1"/>
  <c r="K59" i="1"/>
  <c r="K61" i="1" s="1"/>
  <c r="K121" i="1"/>
  <c r="D101" i="1"/>
  <c r="L116" i="1"/>
  <c r="M68" i="1"/>
  <c r="D116" i="1"/>
  <c r="E68" i="1"/>
  <c r="H116" i="1"/>
  <c r="I68" i="1"/>
  <c r="H130" i="1"/>
  <c r="J130" i="1"/>
  <c r="B17" i="4" l="1"/>
  <c r="L62" i="1"/>
  <c r="H62" i="1"/>
  <c r="I130" i="1"/>
  <c r="D62" i="1"/>
  <c r="E70" i="1" s="1"/>
  <c r="M130" i="1"/>
  <c r="E62" i="1"/>
  <c r="F70" i="1" s="1"/>
  <c r="F72" i="1" s="1"/>
  <c r="E130" i="1"/>
  <c r="E72" i="1"/>
  <c r="D102" i="1"/>
  <c r="K62" i="1"/>
  <c r="G62" i="1"/>
  <c r="F62" i="1"/>
  <c r="D68" i="1"/>
  <c r="C61" i="1"/>
  <c r="C116" i="1"/>
  <c r="C123" i="1" s="1"/>
  <c r="E136" i="1"/>
  <c r="C99" i="1"/>
  <c r="I62" i="1"/>
  <c r="J62" i="1"/>
  <c r="D120" i="1"/>
  <c r="D123" i="1" s="1"/>
  <c r="D17" i="4" l="1"/>
  <c r="E17" i="4" s="1"/>
  <c r="G52" i="4" s="1"/>
  <c r="G53" i="4" s="1"/>
  <c r="J63" i="1"/>
  <c r="K70" i="1"/>
  <c r="K72" i="1" s="1"/>
  <c r="I63" i="1"/>
  <c r="J70" i="1"/>
  <c r="J72" i="1" s="1"/>
  <c r="G63" i="1"/>
  <c r="H70" i="1"/>
  <c r="H72" i="1" s="1"/>
  <c r="E63" i="1"/>
  <c r="H63" i="1"/>
  <c r="I70" i="1"/>
  <c r="I72" i="1" s="1"/>
  <c r="F63" i="1"/>
  <c r="G70" i="1"/>
  <c r="G72" i="1" s="1"/>
  <c r="K63" i="1"/>
  <c r="L70" i="1"/>
  <c r="L72" i="1" s="1"/>
  <c r="D63" i="1"/>
  <c r="L63" i="1"/>
  <c r="M70" i="1"/>
  <c r="E99" i="1"/>
  <c r="C62" i="1"/>
  <c r="D124" i="1"/>
  <c r="C124" i="1"/>
  <c r="D130" i="1"/>
  <c r="D103" i="1"/>
  <c r="C125" i="1" l="1"/>
  <c r="D133" i="1"/>
  <c r="D125" i="1"/>
  <c r="E133" i="1"/>
  <c r="E137" i="1" s="1"/>
  <c r="C63" i="1"/>
  <c r="D70" i="1"/>
  <c r="D72" i="1" s="1"/>
  <c r="C81" i="1" s="1"/>
  <c r="C83" i="1" s="1"/>
  <c r="D104" i="1"/>
  <c r="D137" i="1"/>
  <c r="E122" i="1"/>
  <c r="F99" i="1"/>
  <c r="B18" i="4" l="1"/>
  <c r="C75" i="1"/>
  <c r="C77" i="1"/>
  <c r="H113" i="1" s="1"/>
  <c r="F136" i="1"/>
  <c r="C100" i="1"/>
  <c r="F132" i="1"/>
  <c r="E120" i="1"/>
  <c r="E123" i="1" s="1"/>
  <c r="D105" i="1"/>
  <c r="D18" i="4" l="1"/>
  <c r="E18" i="4" s="1"/>
  <c r="H52" i="4" s="1"/>
  <c r="H53" i="4" s="1"/>
  <c r="G113" i="1"/>
  <c r="K113" i="1"/>
  <c r="F113" i="1"/>
  <c r="L113" i="1"/>
  <c r="J113" i="1"/>
  <c r="E113" i="1"/>
  <c r="I113" i="1"/>
  <c r="D113" i="1"/>
  <c r="D106" i="1"/>
  <c r="E100" i="1"/>
  <c r="E124" i="1"/>
  <c r="E125" i="1" l="1"/>
  <c r="F133" i="1"/>
  <c r="F137" i="1" s="1"/>
  <c r="F122" i="1"/>
  <c r="F100" i="1"/>
  <c r="B19" i="4" l="1"/>
  <c r="D19" i="4" s="1"/>
  <c r="E19" i="4" s="1"/>
  <c r="I52" i="4" s="1"/>
  <c r="I53" i="4" s="1"/>
  <c r="G136" i="1"/>
  <c r="C101" i="1"/>
  <c r="G132" i="1"/>
  <c r="F120" i="1"/>
  <c r="F123" i="1" s="1"/>
  <c r="F124" i="1" l="1"/>
  <c r="E101" i="1"/>
  <c r="F125" i="1" l="1"/>
  <c r="G133" i="1"/>
  <c r="G137" i="1" s="1"/>
  <c r="G122" i="1"/>
  <c r="F101" i="1"/>
  <c r="B20" i="4" l="1"/>
  <c r="D20" i="4" s="1"/>
  <c r="E20" i="4" s="1"/>
  <c r="J52" i="4" s="1"/>
  <c r="J53" i="4" s="1"/>
  <c r="H136" i="1"/>
  <c r="C102" i="1"/>
  <c r="H132" i="1"/>
  <c r="G120" i="1"/>
  <c r="G123" i="1" s="1"/>
  <c r="G124" i="1" l="1"/>
  <c r="H133" i="1" s="1"/>
  <c r="E102" i="1"/>
  <c r="H137" i="1"/>
  <c r="G125" i="1" l="1"/>
  <c r="H122" i="1"/>
  <c r="F102" i="1"/>
  <c r="B21" i="4" l="1"/>
  <c r="D21" i="4" s="1"/>
  <c r="E21" i="4" s="1"/>
  <c r="K52" i="4" s="1"/>
  <c r="K53" i="4" s="1"/>
  <c r="I136" i="1"/>
  <c r="C103" i="1"/>
  <c r="I132" i="1"/>
  <c r="H120" i="1"/>
  <c r="H123" i="1" s="1"/>
  <c r="H124" i="1" l="1"/>
  <c r="E103" i="1"/>
  <c r="H125" i="1" l="1"/>
  <c r="I133" i="1"/>
  <c r="I137" i="1" s="1"/>
  <c r="I122" i="1"/>
  <c r="F103" i="1"/>
  <c r="B22" i="4" l="1"/>
  <c r="D22" i="4" s="1"/>
  <c r="E22" i="4" s="1"/>
  <c r="L52" i="4" s="1"/>
  <c r="L53" i="4" s="1"/>
  <c r="J136" i="1"/>
  <c r="C104" i="1"/>
  <c r="J132" i="1"/>
  <c r="I120" i="1"/>
  <c r="I123" i="1" s="1"/>
  <c r="I124" i="1" l="1"/>
  <c r="E104" i="1"/>
  <c r="I125" i="1" l="1"/>
  <c r="J133" i="1"/>
  <c r="J137" i="1" s="1"/>
  <c r="J122" i="1"/>
  <c r="F104" i="1"/>
  <c r="K136" i="1" l="1"/>
  <c r="C105" i="1"/>
  <c r="K132" i="1"/>
  <c r="J120" i="1"/>
  <c r="J123" i="1" s="1"/>
  <c r="J124" i="1" l="1"/>
  <c r="E105" i="1"/>
  <c r="J125" i="1" l="1"/>
  <c r="K133" i="1"/>
  <c r="K137" i="1" s="1"/>
  <c r="K122" i="1"/>
  <c r="F105" i="1"/>
  <c r="L136" i="1" l="1"/>
  <c r="C106" i="1"/>
  <c r="E106" i="1" s="1"/>
  <c r="L132" i="1"/>
  <c r="K120" i="1"/>
  <c r="K123" i="1" s="1"/>
  <c r="K124" i="1" l="1"/>
  <c r="L133" i="1" s="1"/>
  <c r="L137" i="1" s="1"/>
  <c r="L122" i="1"/>
  <c r="F106" i="1"/>
  <c r="M136" i="1" s="1"/>
  <c r="K125" i="1" l="1"/>
  <c r="M132" i="1"/>
  <c r="L120" i="1"/>
  <c r="L123" i="1" s="1"/>
  <c r="L124" i="1" l="1"/>
  <c r="L125" i="1" l="1"/>
  <c r="M133" i="1"/>
  <c r="M137" i="1" s="1"/>
  <c r="C143" i="1" l="1"/>
  <c r="C147" i="1"/>
  <c r="C149" i="1" s="1"/>
  <c r="C141" i="1"/>
  <c r="C32" i="4"/>
  <c r="D46" i="4" s="1"/>
  <c r="D53" i="4" s="1"/>
  <c r="B59" i="4" l="1"/>
  <c r="B63" i="4"/>
  <c r="B65" i="4" s="1"/>
  <c r="B57" i="4"/>
  <c r="B62" i="4" l="1"/>
  <c r="C72" i="4"/>
</calcChain>
</file>

<file path=xl/comments1.xml><?xml version="1.0" encoding="utf-8"?>
<comments xmlns="http://schemas.openxmlformats.org/spreadsheetml/2006/main">
  <authors>
    <author>Marlon Velasquez</author>
  </authors>
  <commentList>
    <comment ref="C28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el resultado de multiplicar Cantidad a vender al 100%(u/ano) del Cuadro 2 por la Fila Prog. Prod.(%) del Cuadro 3.</t>
        </r>
      </text>
    </comment>
    <comment ref="C29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el resultado de multiplicar Precio de Venta del Cuadro 2 por la Producción del Cuadro 3.</t>
        </r>
      </text>
    </comment>
    <comment ref="C30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el Resultado de multiplicar el Costo Variable del Cuadro 2 por la Fila Costo Variable del Cuadro 3</t>
        </r>
      </text>
    </comment>
    <comment ref="C31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el Costo Fijo del Cuadro 2, el supuesto es que es igual para todos los años</t>
        </r>
      </text>
    </comment>
    <comment ref="C37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1
</t>
        </r>
      </text>
    </comment>
    <comment ref="D37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1
</t>
        </r>
      </text>
    </comment>
    <comment ref="D45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un Supuesto</t>
        </r>
      </text>
    </comment>
    <comment ref="D46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un Supuesto
</t>
        </r>
      </text>
    </comment>
    <comment ref="C47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una Fórmula Contable de la Balance de una empresa
</t>
        </r>
      </text>
    </comment>
    <comment ref="C51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 Ventas del Cuadro 3</t>
        </r>
      </text>
    </comment>
    <comment ref="C52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el Resultado de multiplicar la Tasa del Impuesto de Ventas del Cuadro 2 por la Fila de Ventas del Cuadro 6</t>
        </r>
      </text>
    </comment>
    <comment ref="C53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el resultado de multiplicar la suma de Costos Variables y Costo Fijos del Cuadro 6 por el Impuesto de Ventas del Cuadro 2. Se está aplicando el supuesto que todos los Flujos de Costos Variables y Fijos son sujetos de impuesto de ventas.</t>
        </r>
      </text>
    </comment>
    <comment ref="C54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el resultado de multiplicar la Fila de Ventas del Cuadro 6 por el Impuesto a las Transacciones del Cuadro 2</t>
        </r>
      </text>
    </comment>
    <comment ref="C57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3
</t>
        </r>
      </text>
    </comment>
    <comment ref="C58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3
</t>
        </r>
      </text>
    </comment>
    <comment ref="C60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4
</t>
        </r>
      </text>
    </comment>
    <comment ref="C62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el resultado de multiplicar la Utilidad Bruta del Cuadro 6 por el Impuesto a las Utilidades del Cuadro 2</t>
        </r>
      </text>
    </comment>
    <comment ref="C63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Se resta la Utilidad Bruta y el Impuesto
</t>
        </r>
      </text>
    </comment>
    <comment ref="C67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1, es negativo por ser un egreso</t>
        </r>
      </text>
    </comment>
    <comment ref="D67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5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 Ingreso Neto del Cuadro 6</t>
        </r>
      </text>
    </comment>
    <comment ref="D69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 Costos Operativos del Cuadro 6</t>
        </r>
      </text>
    </comment>
    <comment ref="D70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 I.U.E del Cuadro 6</t>
        </r>
      </text>
    </comment>
    <comment ref="M71" authorId="0">
      <text>
        <r>
          <rPr>
            <b/>
            <sz val="9"/>
            <color indexed="81"/>
            <rFont val="Tahoma"/>
            <charset val="1"/>
          </rPr>
          <t>Marlon Velasquez:</t>
        </r>
        <r>
          <rPr>
            <sz val="9"/>
            <color indexed="81"/>
            <rFont val="Tahoma"/>
            <charset val="1"/>
          </rPr>
          <t xml:space="preserve">
Viene del Valor de Desecho de las Obras Civiles del Cuadro 4</t>
        </r>
      </text>
    </comment>
    <comment ref="C75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el Valor de todos flujos traídos a valor presente con la tasa de rendimiento de capital proprio</t>
        </r>
      </text>
    </comment>
    <comment ref="C76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Por ser un proyecto financiado con Capital Propio, entonces solo se utiliza la tasa de Rendimiento que quiere el inversionista.</t>
        </r>
      </text>
    </comment>
    <comment ref="C77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la tasa donde el VAN del proyecto se hace 0.</t>
        </r>
      </text>
    </comment>
    <comment ref="C80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el VAN dividido entre la Inversión</t>
        </r>
      </text>
    </comment>
    <comment ref="C81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7, es el Valor Presente de los Flujos Positivos del Flujo Neto</t>
        </r>
      </text>
    </comment>
    <comment ref="C82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11, es el Valor Presente de los Flujos Negativos del Flujo Neto</t>
        </r>
      </text>
    </comment>
    <comment ref="C83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la división entre Valor Presente Flujos Positivos y los Negativos.</t>
        </r>
      </text>
    </comment>
    <comment ref="C112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 Ventas del Cuadro 3</t>
        </r>
      </text>
    </comment>
    <comment ref="C113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el Resultado de multiplicar la Tasa del Impuesto de Ventas del Cuadro 2 por la Fila de Ventas del Cuadro 6</t>
        </r>
      </text>
    </comment>
    <comment ref="C114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el resultado de multiplicar la suma de Costos Variables y Costo Fijos del Cuadro 6 por el Impuesto de Ventas del Cuadro 2</t>
        </r>
      </text>
    </comment>
    <comment ref="C115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el resultado de multiplicar la Fila de Ventas del Cuadro 6 por el Impuesto a las Transacciones del Cuadro 2</t>
        </r>
      </text>
    </comment>
    <comment ref="C118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3
</t>
        </r>
      </text>
    </comment>
    <comment ref="C119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3
</t>
        </r>
      </text>
    </comment>
    <comment ref="C121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4
</t>
        </r>
      </text>
    </comment>
    <comment ref="C124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el resultado de multiplicar la Utilidad Bruta del Cuadro 10 por el Impuesto a las Utilidades del Cuadro 2 (22%)</t>
        </r>
      </text>
    </comment>
    <comment ref="C129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1, es negativo por ser un egreso</t>
        </r>
      </text>
    </comment>
    <comment ref="D129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5</t>
        </r>
      </text>
    </comment>
    <comment ref="D130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 Ingreso Neto del Cuadro 6</t>
        </r>
      </text>
    </comment>
    <comment ref="D131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 Costos Operativos del Cuadro 6</t>
        </r>
      </text>
    </comment>
    <comment ref="D132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9</t>
        </r>
      </text>
    </comment>
    <comment ref="D133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A los Ingresos se le resta los Costos Operativos, los Costos Financieros, la Depreciación, y al resultado se le multiplica por 25% de impuestos</t>
        </r>
      </text>
    </comment>
    <comment ref="M134" authorId="0">
      <text>
        <r>
          <rPr>
            <b/>
            <sz val="9"/>
            <color indexed="81"/>
            <rFont val="Tahoma"/>
            <charset val="1"/>
          </rPr>
          <t>Marlon Velasquez:</t>
        </r>
        <r>
          <rPr>
            <sz val="9"/>
            <color indexed="81"/>
            <rFont val="Tahoma"/>
            <charset val="1"/>
          </rPr>
          <t xml:space="preserve">
Viene del Valor de Desecho de las Obras Civiles del Cuadro 4</t>
        </r>
      </text>
    </comment>
    <comment ref="C135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8
</t>
        </r>
      </text>
    </comment>
    <comment ref="D136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9
</t>
        </r>
      </text>
    </comment>
    <comment ref="C141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el Valor de todos flujos traídos a valor presente con la tasa ponderada del proyecto</t>
        </r>
      </text>
    </comment>
    <comment ref="G141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11 de la línea de Inversión en el Año 0.</t>
        </r>
      </text>
    </comment>
    <comment ref="C142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Por ser un proyecto financiado, entonces se calcula una tasa ponderada entre la tasa de Rendimiento que quiere el inversionista y la tasa de financiamiento.</t>
        </r>
      </text>
    </comment>
    <comment ref="G142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11 de la línea de Préstamo o Deuda en el Año 0.</t>
        </r>
      </text>
    </comment>
    <comment ref="C143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la tasa donde el VAN del proyecto se hace 0.</t>
        </r>
      </text>
    </comment>
    <comment ref="G143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Diferencia entre la Inversión y el Préstamo</t>
        </r>
      </text>
    </comment>
    <comment ref="G144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Porcentaje del Capital Propio en relación con la Inversión </t>
        </r>
      </text>
    </comment>
    <comment ref="G145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Porcentaje del Préstamo en relación con la Inversión </t>
        </r>
      </text>
    </comment>
    <comment ref="C146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el VAN dividido entre la Inversión</t>
        </r>
      </text>
    </comment>
    <comment ref="G146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la tasa de financiamiento definida por la entidad que presta el dinero.</t>
        </r>
      </text>
    </comment>
    <comment ref="C147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11, es el Valor Presente de lo Flujos Positivos del Flujo Neto</t>
        </r>
      </text>
    </comment>
    <comment ref="G147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La Rentabilidad que espera la empresa se determina tomando en consideración la Tasa libre de riesgo a la mejor opción existente al momento de evaluar el proyecto, a la tasa de retorno esperada para el mercado, al coeficiente BETA y para ciertos análisis se agrega la tasa por por riesgo de pais. Para efectos del curso, no se va a entrar en detalle como se hace el cálculo de la Tasa de rentabilidad del Capital propio, sencillamente se indica la tasa.</t>
        </r>
      </text>
    </comment>
    <comment ref="C148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11, es el Valor Presente de los Flujos Negativos del Flujo Neto</t>
        </r>
      </text>
    </comment>
    <comment ref="G148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La tasa Ponderada para el proyecto se obtiene de sumar                                      (Prest/Inv)*Tasa Prest. + (Cap. Prop./Inv)*Tasa Cap. Prop</t>
        </r>
      </text>
    </comment>
    <comment ref="C149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la división entre Valor Presente Flujos Positivos y los Negativos.</t>
        </r>
      </text>
    </comment>
  </commentList>
</comments>
</file>

<file path=xl/comments2.xml><?xml version="1.0" encoding="utf-8"?>
<comments xmlns="http://schemas.openxmlformats.org/spreadsheetml/2006/main">
  <authors>
    <author>Marlon Velasquez</author>
  </authors>
  <commentList>
    <comment ref="B28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 Ventas del Cuadro 3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el Resultado de multiplicar la Tasa del Impuesto de Ventas del Cuadro 2 por la Fila de Ventas del Cuadro 6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el resultado de multiplicar la suma de Costos Variables y Costo Fijos del Cuadro 6 por el Impuesto de Ventas del Cuadro 2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el resultado de multiplicar la Fila de Ventas del Cuadro 6 por el Impuesto a las Transacciones del Cuadro 2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3
</t>
        </r>
      </text>
    </comment>
    <comment ref="B35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3
</t>
        </r>
      </text>
    </comment>
    <comment ref="B37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4
</t>
        </r>
      </text>
    </comment>
    <comment ref="B40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el resultado de multiplicar la Utilidad Bruta del Cuadro 10 por el Impuesto a las Utilidades del Cuadro 2 (22%)</t>
        </r>
      </text>
    </comment>
    <comment ref="B45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1, es negativo por ser un egreso</t>
        </r>
      </text>
    </comment>
    <comment ref="C45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5</t>
        </r>
      </text>
    </comment>
    <comment ref="C46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 Ingreso Neto del Cuadro 6</t>
        </r>
      </text>
    </comment>
    <comment ref="C47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 Costos Operativos del Cuadro 6</t>
        </r>
      </text>
    </comment>
    <comment ref="C48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9</t>
        </r>
      </text>
    </comment>
    <comment ref="C49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A los Ingresos se le resta los Costos Operativos, los Costos Financieros, la Depreciación, y al resultado se le multiplica por 25% de impuestos</t>
        </r>
      </text>
    </comment>
    <comment ref="L50" authorId="0">
      <text>
        <r>
          <rPr>
            <b/>
            <sz val="9"/>
            <color indexed="81"/>
            <rFont val="Tahoma"/>
            <charset val="1"/>
          </rPr>
          <t>Marlon Velasquez:</t>
        </r>
        <r>
          <rPr>
            <sz val="9"/>
            <color indexed="81"/>
            <rFont val="Tahoma"/>
            <charset val="1"/>
          </rPr>
          <t xml:space="preserve">
Viene del Valor de Desecho de las Obras Civiles del Cuadro 4</t>
        </r>
      </text>
    </comment>
    <comment ref="B51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8
</t>
        </r>
      </text>
    </comment>
    <comment ref="C52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9
</t>
        </r>
      </text>
    </comment>
    <comment ref="B57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el Valor de todos flujos traídos a valor presente con la tasa ponderada del proyecto</t>
        </r>
      </text>
    </comment>
    <comment ref="F57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11 de la línea de Inversión en el Año 0.</t>
        </r>
      </text>
    </comment>
    <comment ref="B58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Por ser un proyecto financiado, entonces se calcula una tasa ponderada entre la tasa de Rendimiento que quiere el inversionista y la tasa de financiamiento.</t>
        </r>
      </text>
    </comment>
    <comment ref="F58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11 de la línea de Préstamo o Deuda en el Año 0.</t>
        </r>
      </text>
    </comment>
    <comment ref="B59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la tasa donde el VAN del proyecto se hace 0.</t>
        </r>
      </text>
    </comment>
    <comment ref="F59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Diferencia entre la Inversión y el Préstamo</t>
        </r>
      </text>
    </comment>
    <comment ref="F60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Porcentaje del Capital Propio en relación con la Inversión </t>
        </r>
      </text>
    </comment>
    <comment ref="F61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Porcentaje del Préstamo en relación con la Inversión 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el VAN dividido entre la Inversión</t>
        </r>
      </text>
    </comment>
    <comment ref="F62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la tasa de financiamiento definida por la entidad que presta el dinero.</t>
        </r>
      </text>
    </comment>
    <comment ref="B63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11, es el Valor Presente de lo Flujos Positivos del Flujo Neto</t>
        </r>
      </text>
    </comment>
    <comment ref="F63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La Rentabilidad que espera la empresa se determina tomando en consideración la Tasa libre de riesgo a la mejor opción existente al momento de evaluar el proyecto, a la tasa de retorno esperada para el mercado, al coeficiente BETA y para ciertos análisis se agrega la tasa por por riesgo de pais. Para efectos del curso, no se va a entrar en detalle como se hace el cálculo de la Tasa de rentabilidad del Capital propio, sencillamente se indica la tasa.</t>
        </r>
      </text>
    </comment>
    <comment ref="B64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Viene del Cuadro 11, es el Valor Presente de los Flujos Negativos del Flujo Neto</t>
        </r>
      </text>
    </comment>
    <comment ref="F64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La tasa Ponderada para el proyecto se obtiene de sumar                                      (Prest/Inv)*Tasa Prest. + (Cap. Prop./Inv)*Tasa Cap. Prop</t>
        </r>
      </text>
    </comment>
    <comment ref="B65" authorId="0">
      <text>
        <r>
          <rPr>
            <b/>
            <sz val="9"/>
            <color indexed="81"/>
            <rFont val="Tahoma"/>
            <family val="2"/>
          </rPr>
          <t>Marlon Velasquez:</t>
        </r>
        <r>
          <rPr>
            <sz val="9"/>
            <color indexed="81"/>
            <rFont val="Tahoma"/>
            <family val="2"/>
          </rPr>
          <t xml:space="preserve">
Es la división entre Valor Presente Flujos Positivos y los Negativos.</t>
        </r>
      </text>
    </comment>
  </commentList>
</comments>
</file>

<file path=xl/sharedStrings.xml><?xml version="1.0" encoding="utf-8"?>
<sst xmlns="http://schemas.openxmlformats.org/spreadsheetml/2006/main" count="264" uniqueCount="138">
  <si>
    <t>Cuadro 1 Costos de Inversión</t>
  </si>
  <si>
    <t>Inversiones</t>
  </si>
  <si>
    <t>$US</t>
  </si>
  <si>
    <t>Vida útil (años)</t>
  </si>
  <si>
    <t>Terrenos</t>
  </si>
  <si>
    <t>Obras civiles</t>
  </si>
  <si>
    <t>Equipos:</t>
  </si>
  <si>
    <t>Equipo A</t>
  </si>
  <si>
    <t>Equipo B</t>
  </si>
  <si>
    <t>Equipo C</t>
  </si>
  <si>
    <t>Total de Inversiones</t>
  </si>
  <si>
    <t>Cuadro 2 Datos Generales</t>
  </si>
  <si>
    <t>Cantidad a vender al 100% (u/año) =</t>
  </si>
  <si>
    <t>Precio de venta ($us/u) =</t>
  </si>
  <si>
    <t>Costo variable ($us/u) =</t>
  </si>
  <si>
    <t>Costo fijo ($us/año) =</t>
  </si>
  <si>
    <t>Impuestos Ventas (IVA)</t>
  </si>
  <si>
    <t>Impuestos Transacciones (IT)</t>
  </si>
  <si>
    <t>Impuestos a las Utilidades</t>
  </si>
  <si>
    <t>Cuadro 3 Flujo de Caja Inicial</t>
  </si>
  <si>
    <t>Año</t>
  </si>
  <si>
    <t>Progr. Prod. (%)</t>
  </si>
  <si>
    <t>Producción (u)</t>
  </si>
  <si>
    <t>Ventas ($us)</t>
  </si>
  <si>
    <t>Costo Var. ($us)</t>
  </si>
  <si>
    <t>Costo Fijo ($us)</t>
  </si>
  <si>
    <t>Cuadro 4 Depreciación de Activos</t>
  </si>
  <si>
    <t>V. Desecho</t>
  </si>
  <si>
    <t>Costo ($us)</t>
  </si>
  <si>
    <t>V. U. (años)</t>
  </si>
  <si>
    <t>Dep. Lin.</t>
  </si>
  <si>
    <t>Año 5</t>
  </si>
  <si>
    <t>Año 10</t>
  </si>
  <si>
    <t>Total Depreciación por año</t>
  </si>
  <si>
    <t>Cuadro 5 Capital de Trabajo</t>
  </si>
  <si>
    <t>Capital de Trabajo año 1:</t>
  </si>
  <si>
    <t>%</t>
  </si>
  <si>
    <t>Año 1</t>
  </si>
  <si>
    <t>Activo Circulante ($us):</t>
  </si>
  <si>
    <t>25 % ventas</t>
  </si>
  <si>
    <t>Pasivo Circulante ($us):</t>
  </si>
  <si>
    <t>30 % costos operativos</t>
  </si>
  <si>
    <t xml:space="preserve">Capital de Trabajo ($us) = </t>
  </si>
  <si>
    <t>Act.C.- Pas. C</t>
  </si>
  <si>
    <t>Cuadro 6 Cuenta de Resultados</t>
  </si>
  <si>
    <t>CONCEPTO</t>
  </si>
  <si>
    <t>Ventas</t>
  </si>
  <si>
    <t>IVA Ventas (11%)</t>
  </si>
  <si>
    <t>IVA Compras (11%)</t>
  </si>
  <si>
    <t>IT (2%)</t>
  </si>
  <si>
    <t>INGRESO NETO (1)</t>
  </si>
  <si>
    <t>Costos Operativos</t>
  </si>
  <si>
    <t>Costos Variables</t>
  </si>
  <si>
    <t>Costo fijo</t>
  </si>
  <si>
    <t>Costo No operat.</t>
  </si>
  <si>
    <t xml:space="preserve">Depreciación </t>
  </si>
  <si>
    <t>UTILIDAD BRUTA</t>
  </si>
  <si>
    <t>I. U. E. (22%)</t>
  </si>
  <si>
    <t>UTILIDAD NETA</t>
  </si>
  <si>
    <t>Cuadro 7 Flujo de Caja del Proyecto de Inversión</t>
  </si>
  <si>
    <t>Inversión</t>
  </si>
  <si>
    <t>Ingresos</t>
  </si>
  <si>
    <t>Costos Operat.</t>
  </si>
  <si>
    <t>Impuestos</t>
  </si>
  <si>
    <t>Valor Desecho</t>
  </si>
  <si>
    <t>Flujo Neto</t>
  </si>
  <si>
    <t>Valor Actual Neto VAN (17%)=</t>
  </si>
  <si>
    <t xml:space="preserve">Tasa Interna de Retorno TIR = </t>
  </si>
  <si>
    <t>SI DECIDIMOS FINANCIAR EL PROYECTO</t>
  </si>
  <si>
    <t>Cuadro 8 Información Financiera y Cuota</t>
  </si>
  <si>
    <t>Inversión fija=</t>
  </si>
  <si>
    <t>Préstamo(P) =</t>
  </si>
  <si>
    <t>interés(i) =</t>
  </si>
  <si>
    <t>Años(n) =</t>
  </si>
  <si>
    <t>Cuota (C)=</t>
  </si>
  <si>
    <t>Cuadro 9 Pagos de Deuda</t>
  </si>
  <si>
    <t>Deuda o Saldo</t>
  </si>
  <si>
    <t>Cuota</t>
  </si>
  <si>
    <t>Intereses</t>
  </si>
  <si>
    <t>Amortización</t>
  </si>
  <si>
    <t>Cuadro 10 Cuenta de Resultados con Financiamiento</t>
  </si>
  <si>
    <t>Costo Financiero (Intereses)</t>
  </si>
  <si>
    <t>Cuadro 11 Flujo de Caja del Proyecto de Inversión con Financiamiento</t>
  </si>
  <si>
    <t>Préstamo o Deuda</t>
  </si>
  <si>
    <t>Préstamo</t>
  </si>
  <si>
    <t>Capital Propio</t>
  </si>
  <si>
    <t>Descripción</t>
  </si>
  <si>
    <t>Datos</t>
  </si>
  <si>
    <t>Tasa Rendimiento Capital Propio</t>
  </si>
  <si>
    <t>Valor Presente Flujos Positivos</t>
  </si>
  <si>
    <t>Valor Presente Flujos Negativos</t>
  </si>
  <si>
    <t xml:space="preserve">Indice Deseabilidad </t>
  </si>
  <si>
    <t>INDICADORES FINANCIEROS SIN FINANCIAMIENTO</t>
  </si>
  <si>
    <t>Prést/Inver (%)</t>
  </si>
  <si>
    <t>Cap.Prop./Inv (%)</t>
  </si>
  <si>
    <t>Tasa Prést. (%)</t>
  </si>
  <si>
    <t>Tasa Cap. Prop (%)</t>
  </si>
  <si>
    <t>INDICADORES FINANCIEROS CON FINANCIAMIENTO</t>
  </si>
  <si>
    <t>CÁLCULO DE LA TASA</t>
  </si>
  <si>
    <t>Tasa Ponderada del Proyecto</t>
  </si>
  <si>
    <t>Tasa Ponderada (%)</t>
  </si>
  <si>
    <t>VAN</t>
  </si>
  <si>
    <t>Rentabilidad</t>
  </si>
  <si>
    <t>Costo Beneficio</t>
  </si>
  <si>
    <t>ANÁLISIS DE SENSIBILIDAD</t>
  </si>
  <si>
    <t>Aumento o Disminución de Inversión</t>
  </si>
  <si>
    <t>Aumento o Disminución de Ingresos</t>
  </si>
  <si>
    <t>Aumento o Disminución de Tasas de Interés</t>
  </si>
  <si>
    <t>Aum. o Dism.%</t>
  </si>
  <si>
    <t>Dism.10%</t>
  </si>
  <si>
    <t>Dism.5%</t>
  </si>
  <si>
    <t>Aum. 5%</t>
  </si>
  <si>
    <t>Aum. 10%</t>
  </si>
  <si>
    <t>Aumento o Disminución de Costos Variables</t>
  </si>
  <si>
    <t>Aumento o Disminución de Costos Fijos</t>
  </si>
  <si>
    <t>Desv.% (-)</t>
  </si>
  <si>
    <t>Desv.% (+)</t>
  </si>
  <si>
    <t>Condición Sensibilidad</t>
  </si>
  <si>
    <t>Alta</t>
  </si>
  <si>
    <t>Media</t>
  </si>
  <si>
    <t>Baja</t>
  </si>
  <si>
    <t>Variable de sensibilidad</t>
  </si>
  <si>
    <t>Costos Fijos</t>
  </si>
  <si>
    <t>Tasa interés</t>
  </si>
  <si>
    <t>PRACTICA</t>
  </si>
  <si>
    <t>PASOS</t>
  </si>
  <si>
    <t>5. Practique con un aumento y disminución de las variables de un 5%, para que observen su sensibilidad.</t>
  </si>
  <si>
    <t>6. Por otro lado, puede también poner una combinanción de aumento o disminución de las variables a la vez, solo que para ello tendrían que montar los cuadros del VAN específicos para cada escenario.</t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</si>
  <si>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El ejemplo es el mismo visto en el Flujo de Caja, solo que tiene aplicada las fórmulas para afectar porcentualmente según las variables analizadas.</t>
    </r>
  </si>
  <si>
    <t>CUADRO 12 INDICADORES FINANCIEROS CON FINANCIAMIENTO</t>
  </si>
  <si>
    <t>CUADRO 13 CÁLCULO DE LA TASA</t>
  </si>
  <si>
    <t>CUADRO 14 Aumento o Diminución de variables y el VAN</t>
  </si>
  <si>
    <t>CUADRO 15 -VAN, VAN, +VAN</t>
  </si>
  <si>
    <t>CUADRO 16 variación % VAN y Sensibilidad</t>
  </si>
  <si>
    <t>1. Identificar que las variables de sensibilidad a analizar son la Inversión, los Ingresos, los Costos Variables, los Costos Fijos y la Tasa de Interés (Ver Cuadro 14)</t>
  </si>
  <si>
    <t>2. En la casilla  B71 (Cuadro 14)se indica el porcentaje que estaría variando el rubro de Inversión, por ejemplo si disminuye un 10% se pone -10%, y el resultado del VAN (casilla C71) se escribe en la casilla B88, eso sí, las casillas subsiguientes deben estar en 0%. De igual forma se hace con el aumento de 10% se pone 10%, y el resultado se escribe en la casilla D88.</t>
  </si>
  <si>
    <t>4. En el Cuadro 16, van a observar automáticamente como se comporta el VAN del proyecto, o sea que tan sensible es según la variable que se analice.</t>
  </si>
  <si>
    <t>3. Se hace lo mismo con las otras variables, pero recuerde que cuando ingrese los datos, las demás deben estar en 0%, y el dato del VAN se pone en la casilla correspondiente de la columna B (disminución) o D(aumento) del Cuado 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</si>
</sst>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.00_);[Red]\(&quot;$&quot;#,##0.00\)"/>
    <numFmt numFmtId="165" formatCode="#,##0.0"/>
    <numFmt numFmtId="166" formatCode="#,##0.0000"/>
    <numFmt numFmtId="167" formatCode="#,##0.000000"/>
    <numFmt numFmtId="168" formatCode="#,##0.0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26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0" fontId="6" fillId="2" borderId="2" xfId="0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/>
    <xf numFmtId="0" fontId="7" fillId="2" borderId="0" xfId="0" applyFont="1" applyFill="1"/>
    <xf numFmtId="0" fontId="7" fillId="0" borderId="5" xfId="0" applyFont="1" applyBorder="1" applyAlignment="1">
      <alignment horizontal="left" vertical="center" wrapText="1"/>
    </xf>
    <xf numFmtId="3" fontId="7" fillId="0" borderId="6" xfId="0" applyNumberFormat="1" applyFont="1" applyBorder="1" applyAlignment="1">
      <alignment horizontal="left" vertical="center" wrapText="1"/>
    </xf>
    <xf numFmtId="3" fontId="7" fillId="0" borderId="7" xfId="0" applyNumberFormat="1" applyFont="1" applyBorder="1"/>
    <xf numFmtId="3" fontId="7" fillId="0" borderId="0" xfId="0" applyNumberFormat="1" applyFont="1"/>
    <xf numFmtId="0" fontId="7" fillId="0" borderId="0" xfId="0" applyFont="1"/>
    <xf numFmtId="3" fontId="7" fillId="0" borderId="7" xfId="0" applyNumberFormat="1" applyFont="1" applyBorder="1" applyAlignment="1">
      <alignment horizontal="center" vertical="center" wrapText="1"/>
    </xf>
    <xf numFmtId="3" fontId="7" fillId="0" borderId="6" xfId="0" applyNumberFormat="1" applyFont="1" applyBorder="1"/>
    <xf numFmtId="0" fontId="7" fillId="0" borderId="8" xfId="0" applyFont="1" applyBorder="1" applyAlignment="1">
      <alignment horizontal="left" vertical="center" wrapText="1"/>
    </xf>
    <xf numFmtId="3" fontId="7" fillId="0" borderId="1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3" fontId="7" fillId="0" borderId="13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7" fillId="0" borderId="14" xfId="0" applyFont="1" applyBorder="1"/>
    <xf numFmtId="0" fontId="7" fillId="0" borderId="15" xfId="0" applyFont="1" applyBorder="1"/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3" fontId="7" fillId="0" borderId="24" xfId="0" applyNumberFormat="1" applyFont="1" applyBorder="1"/>
    <xf numFmtId="0" fontId="6" fillId="0" borderId="25" xfId="0" applyFont="1" applyBorder="1" applyAlignment="1">
      <alignment horizontal="left" vertical="center"/>
    </xf>
    <xf numFmtId="3" fontId="7" fillId="0" borderId="26" xfId="0" applyNumberFormat="1" applyFont="1" applyBorder="1"/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7" fillId="0" borderId="2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left" vertical="center"/>
    </xf>
    <xf numFmtId="0" fontId="7" fillId="0" borderId="5" xfId="0" applyNumberFormat="1" applyFont="1" applyBorder="1" applyAlignment="1">
      <alignment horizontal="left" vertical="center"/>
    </xf>
    <xf numFmtId="3" fontId="7" fillId="0" borderId="6" xfId="0" applyNumberFormat="1" applyFont="1" applyBorder="1" applyAlignment="1">
      <alignment horizontal="right" vertical="center"/>
    </xf>
    <xf numFmtId="0" fontId="7" fillId="0" borderId="17" xfId="0" applyNumberFormat="1" applyFont="1" applyBorder="1" applyAlignment="1">
      <alignment horizontal="left" vertical="center"/>
    </xf>
    <xf numFmtId="0" fontId="7" fillId="0" borderId="11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/>
    <xf numFmtId="3" fontId="7" fillId="0" borderId="6" xfId="0" applyNumberFormat="1" applyFont="1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3" fontId="7" fillId="0" borderId="6" xfId="0" applyNumberFormat="1" applyFont="1" applyBorder="1" applyAlignment="1">
      <alignment horizontal="left" vertical="center"/>
    </xf>
    <xf numFmtId="9" fontId="7" fillId="0" borderId="6" xfId="1" applyFont="1" applyBorder="1" applyAlignment="1">
      <alignment horizontal="center"/>
    </xf>
    <xf numFmtId="3" fontId="7" fillId="0" borderId="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3" fontId="6" fillId="0" borderId="6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3" fontId="7" fillId="0" borderId="0" xfId="0" applyNumberFormat="1" applyFont="1" applyFill="1" applyBorder="1" applyAlignment="1">
      <alignment horizontal="right" vertical="center"/>
    </xf>
    <xf numFmtId="3" fontId="6" fillId="0" borderId="7" xfId="0" applyNumberFormat="1" applyFont="1" applyBorder="1" applyAlignment="1">
      <alignment horizontal="right" vertical="center"/>
    </xf>
    <xf numFmtId="165" fontId="6" fillId="0" borderId="6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left" vertical="center"/>
    </xf>
    <xf numFmtId="3" fontId="6" fillId="0" borderId="29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3" fontId="7" fillId="0" borderId="6" xfId="0" applyNumberFormat="1" applyFont="1" applyFill="1" applyBorder="1" applyAlignment="1">
      <alignment horizontal="right" vertical="center"/>
    </xf>
    <xf numFmtId="3" fontId="0" fillId="0" borderId="6" xfId="0" applyNumberFormat="1" applyFont="1" applyFill="1" applyBorder="1"/>
    <xf numFmtId="3" fontId="9" fillId="0" borderId="6" xfId="0" applyNumberFormat="1" applyFont="1" applyFill="1" applyBorder="1"/>
    <xf numFmtId="3" fontId="0" fillId="0" borderId="7" xfId="0" applyNumberFormat="1" applyFont="1" applyFill="1" applyBorder="1"/>
    <xf numFmtId="3" fontId="0" fillId="0" borderId="30" xfId="0" applyNumberFormat="1" applyFont="1" applyFill="1" applyBorder="1"/>
    <xf numFmtId="3" fontId="7" fillId="0" borderId="7" xfId="0" applyNumberFormat="1" applyFont="1" applyFill="1" applyBorder="1" applyAlignment="1">
      <alignment horizontal="right" vertical="center"/>
    </xf>
    <xf numFmtId="3" fontId="7" fillId="0" borderId="31" xfId="0" applyNumberFormat="1" applyFont="1" applyFill="1" applyBorder="1" applyAlignment="1">
      <alignment horizontal="right" vertical="center"/>
    </xf>
    <xf numFmtId="3" fontId="7" fillId="0" borderId="30" xfId="0" applyNumberFormat="1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left" vertical="center"/>
    </xf>
    <xf numFmtId="3" fontId="7" fillId="0" borderId="29" xfId="0" applyNumberFormat="1" applyFont="1" applyFill="1" applyBorder="1" applyAlignment="1">
      <alignment horizontal="right" vertical="center"/>
    </xf>
    <xf numFmtId="3" fontId="7" fillId="0" borderId="32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2" fontId="7" fillId="0" borderId="0" xfId="0" applyNumberFormat="1" applyFont="1"/>
    <xf numFmtId="166" fontId="7" fillId="0" borderId="0" xfId="0" applyNumberFormat="1" applyFont="1"/>
    <xf numFmtId="4" fontId="7" fillId="0" borderId="0" xfId="0" applyNumberFormat="1" applyFont="1" applyBorder="1" applyAlignment="1"/>
    <xf numFmtId="4" fontId="7" fillId="0" borderId="0" xfId="0" applyNumberFormat="1" applyFont="1" applyBorder="1" applyAlignment="1">
      <alignment horizontal="center"/>
    </xf>
    <xf numFmtId="0" fontId="6" fillId="0" borderId="0" xfId="0" applyFont="1"/>
    <xf numFmtId="0" fontId="10" fillId="0" borderId="2" xfId="0" applyFont="1" applyBorder="1" applyAlignment="1">
      <alignment horizontal="left" vertical="center"/>
    </xf>
    <xf numFmtId="3" fontId="10" fillId="0" borderId="4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left" vertical="center"/>
    </xf>
    <xf numFmtId="3" fontId="10" fillId="0" borderId="7" xfId="0" applyNumberFormat="1" applyFont="1" applyBorder="1" applyAlignment="1">
      <alignment horizontal="right" vertical="center"/>
    </xf>
    <xf numFmtId="9" fontId="10" fillId="0" borderId="7" xfId="1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7" fillId="0" borderId="17" xfId="0" applyFont="1" applyBorder="1"/>
    <xf numFmtId="3" fontId="7" fillId="0" borderId="18" xfId="0" applyNumberFormat="1" applyFont="1" applyBorder="1"/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/>
    </xf>
    <xf numFmtId="9" fontId="7" fillId="0" borderId="0" xfId="1" applyFont="1"/>
    <xf numFmtId="0" fontId="10" fillId="2" borderId="5" xfId="0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right" vertical="center"/>
    </xf>
    <xf numFmtId="3" fontId="10" fillId="0" borderId="6" xfId="0" applyNumberFormat="1" applyFont="1" applyBorder="1"/>
    <xf numFmtId="3" fontId="10" fillId="2" borderId="6" xfId="1" applyNumberFormat="1" applyFont="1" applyFill="1" applyBorder="1" applyAlignment="1">
      <alignment horizontal="right" vertical="center"/>
    </xf>
    <xf numFmtId="3" fontId="10" fillId="0" borderId="7" xfId="0" applyNumberFormat="1" applyFont="1" applyBorder="1"/>
    <xf numFmtId="4" fontId="7" fillId="0" borderId="0" xfId="0" applyNumberFormat="1" applyFont="1"/>
    <xf numFmtId="167" fontId="7" fillId="0" borderId="0" xfId="0" applyNumberFormat="1" applyFont="1"/>
    <xf numFmtId="168" fontId="7" fillId="0" borderId="0" xfId="0" applyNumberFormat="1" applyFont="1"/>
    <xf numFmtId="0" fontId="10" fillId="2" borderId="34" xfId="0" applyFont="1" applyFill="1" applyBorder="1" applyAlignment="1">
      <alignment horizontal="center" vertical="center"/>
    </xf>
    <xf numFmtId="0" fontId="13" fillId="0" borderId="0" xfId="0" applyFont="1"/>
    <xf numFmtId="0" fontId="7" fillId="0" borderId="8" xfId="0" applyFont="1" applyFill="1" applyBorder="1" applyAlignment="1">
      <alignment horizontal="left" vertical="center"/>
    </xf>
    <xf numFmtId="3" fontId="7" fillId="0" borderId="35" xfId="0" applyNumberFormat="1" applyFont="1" applyFill="1" applyBorder="1" applyAlignment="1">
      <alignment horizontal="right" vertical="center"/>
    </xf>
    <xf numFmtId="3" fontId="0" fillId="0" borderId="0" xfId="0" applyNumberFormat="1"/>
    <xf numFmtId="164" fontId="0" fillId="0" borderId="0" xfId="0" applyNumberFormat="1"/>
    <xf numFmtId="3" fontId="6" fillId="0" borderId="0" xfId="0" applyNumberFormat="1" applyFont="1" applyBorder="1"/>
    <xf numFmtId="4" fontId="7" fillId="0" borderId="0" xfId="0" applyNumberFormat="1" applyFont="1" applyBorder="1"/>
    <xf numFmtId="3" fontId="11" fillId="0" borderId="0" xfId="0" applyNumberFormat="1" applyFont="1" applyBorder="1"/>
    <xf numFmtId="3" fontId="7" fillId="0" borderId="6" xfId="0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9" fontId="0" fillId="0" borderId="0" xfId="1" applyFont="1"/>
    <xf numFmtId="10" fontId="0" fillId="0" borderId="0" xfId="1" applyNumberFormat="1" applyFont="1"/>
    <xf numFmtId="10" fontId="0" fillId="0" borderId="0" xfId="0" applyNumberFormat="1"/>
    <xf numFmtId="0" fontId="6" fillId="0" borderId="2" xfId="0" applyFont="1" applyBorder="1"/>
    <xf numFmtId="3" fontId="6" fillId="0" borderId="4" xfId="0" applyNumberFormat="1" applyFont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 vertical="center"/>
    </xf>
    <xf numFmtId="9" fontId="7" fillId="0" borderId="7" xfId="1" applyFont="1" applyBorder="1" applyAlignment="1">
      <alignment horizontal="center" vertical="center"/>
    </xf>
    <xf numFmtId="9" fontId="7" fillId="0" borderId="18" xfId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4" fontId="7" fillId="0" borderId="30" xfId="0" applyNumberFormat="1" applyFont="1" applyBorder="1"/>
    <xf numFmtId="4" fontId="7" fillId="0" borderId="36" xfId="0" applyNumberFormat="1" applyFont="1" applyBorder="1"/>
    <xf numFmtId="0" fontId="10" fillId="0" borderId="37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40" fontId="10" fillId="0" borderId="28" xfId="0" applyNumberFormat="1" applyFont="1" applyBorder="1" applyAlignment="1">
      <alignment horizontal="right" vertical="center"/>
    </xf>
    <xf numFmtId="9" fontId="10" fillId="0" borderId="30" xfId="1" applyFont="1" applyBorder="1" applyAlignment="1">
      <alignment horizontal="right" vertical="center"/>
    </xf>
    <xf numFmtId="10" fontId="10" fillId="0" borderId="30" xfId="0" applyNumberFormat="1" applyFont="1" applyBorder="1" applyAlignment="1">
      <alignment horizontal="right" vertical="center"/>
    </xf>
    <xf numFmtId="3" fontId="7" fillId="0" borderId="30" xfId="0" applyNumberFormat="1" applyFont="1" applyBorder="1"/>
    <xf numFmtId="0" fontId="10" fillId="0" borderId="39" xfId="0" applyFont="1" applyBorder="1" applyAlignment="1">
      <alignment horizontal="left" vertical="center"/>
    </xf>
    <xf numFmtId="0" fontId="7" fillId="0" borderId="37" xfId="0" applyFont="1" applyBorder="1"/>
    <xf numFmtId="10" fontId="10" fillId="0" borderId="37" xfId="1" applyNumberFormat="1" applyFont="1" applyBorder="1" applyAlignment="1">
      <alignment horizontal="right" vertical="center"/>
    </xf>
    <xf numFmtId="10" fontId="10" fillId="0" borderId="37" xfId="0" applyNumberFormat="1" applyFont="1" applyBorder="1" applyAlignment="1">
      <alignment horizontal="right" vertical="center"/>
    </xf>
    <xf numFmtId="3" fontId="7" fillId="0" borderId="37" xfId="0" applyNumberFormat="1" applyFont="1" applyBorder="1"/>
    <xf numFmtId="4" fontId="7" fillId="0" borderId="37" xfId="0" applyNumberFormat="1" applyFont="1" applyBorder="1"/>
    <xf numFmtId="4" fontId="7" fillId="0" borderId="38" xfId="0" applyNumberFormat="1" applyFont="1" applyBorder="1"/>
    <xf numFmtId="3" fontId="0" fillId="0" borderId="4" xfId="0" applyNumberFormat="1" applyBorder="1"/>
    <xf numFmtId="0" fontId="0" fillId="0" borderId="5" xfId="0" applyBorder="1"/>
    <xf numFmtId="3" fontId="0" fillId="0" borderId="7" xfId="0" applyNumberFormat="1" applyBorder="1"/>
    <xf numFmtId="10" fontId="0" fillId="0" borderId="7" xfId="1" applyNumberFormat="1" applyFont="1" applyBorder="1"/>
    <xf numFmtId="9" fontId="0" fillId="0" borderId="7" xfId="1" applyFont="1" applyBorder="1"/>
    <xf numFmtId="10" fontId="0" fillId="0" borderId="7" xfId="0" applyNumberFormat="1" applyBorder="1"/>
    <xf numFmtId="0" fontId="0" fillId="0" borderId="17" xfId="0" applyBorder="1"/>
    <xf numFmtId="10" fontId="0" fillId="0" borderId="18" xfId="0" applyNumberFormat="1" applyBorder="1"/>
    <xf numFmtId="3" fontId="2" fillId="0" borderId="0" xfId="0" applyNumberFormat="1" applyFont="1"/>
    <xf numFmtId="3" fontId="9" fillId="0" borderId="2" xfId="0" applyNumberFormat="1" applyFont="1" applyBorder="1"/>
    <xf numFmtId="0" fontId="9" fillId="0" borderId="5" xfId="0" applyFont="1" applyBorder="1"/>
    <xf numFmtId="38" fontId="10" fillId="0" borderId="39" xfId="0" applyNumberFormat="1" applyFont="1" applyBorder="1" applyAlignment="1">
      <alignment horizontal="right" vertical="center"/>
    </xf>
    <xf numFmtId="0" fontId="18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12" fillId="0" borderId="0" xfId="0" applyFont="1" applyFill="1" applyBorder="1" applyAlignment="1">
      <alignment horizontal="left" vertical="center"/>
    </xf>
    <xf numFmtId="0" fontId="0" fillId="0" borderId="6" xfId="0" applyBorder="1"/>
    <xf numFmtId="9" fontId="2" fillId="0" borderId="6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9" fontId="0" fillId="0" borderId="6" xfId="0" applyNumberFormat="1" applyBorder="1" applyAlignment="1">
      <alignment horizontal="center"/>
    </xf>
    <xf numFmtId="38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9" fontId="2" fillId="0" borderId="6" xfId="0" applyNumberFormat="1" applyFont="1" applyFill="1" applyBorder="1" applyAlignment="1">
      <alignment horizontal="center"/>
    </xf>
    <xf numFmtId="10" fontId="0" fillId="0" borderId="6" xfId="1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3" fontId="6" fillId="0" borderId="27" xfId="0" applyNumberFormat="1" applyFont="1" applyBorder="1" applyAlignment="1">
      <alignment horizontal="center" vertical="center"/>
    </xf>
    <xf numFmtId="3" fontId="6" fillId="0" borderId="28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4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8" fontId="2" fillId="0" borderId="9" xfId="0" applyNumberFormat="1" applyFont="1" applyBorder="1" applyAlignment="1">
      <alignment horizontal="center" vertical="center"/>
    </xf>
    <xf numFmtId="38" fontId="2" fillId="0" borderId="41" xfId="0" applyNumberFormat="1" applyFont="1" applyBorder="1" applyAlignment="1">
      <alignment horizontal="center" vertical="center"/>
    </xf>
    <xf numFmtId="38" fontId="2" fillId="0" borderId="40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T156"/>
  <sheetViews>
    <sheetView topLeftCell="A123" zoomScaleNormal="100" workbookViewId="0">
      <selection activeCell="D137" sqref="D137"/>
    </sheetView>
  </sheetViews>
  <sheetFormatPr baseColWidth="10" defaultRowHeight="14.4" x14ac:dyDescent="0.3"/>
  <cols>
    <col min="2" max="2" width="37.44140625" customWidth="1"/>
    <col min="3" max="3" width="16" customWidth="1"/>
    <col min="4" max="4" width="12.44140625" customWidth="1"/>
    <col min="5" max="5" width="12.88671875" customWidth="1"/>
    <col min="6" max="6" width="18.5546875" customWidth="1"/>
    <col min="7" max="7" width="12.6640625" customWidth="1"/>
    <col min="8" max="8" width="12.33203125" customWidth="1"/>
    <col min="9" max="9" width="13" customWidth="1"/>
    <col min="10" max="10" width="12.88671875" customWidth="1"/>
    <col min="11" max="11" width="13.6640625" customWidth="1"/>
    <col min="12" max="12" width="12.44140625" customWidth="1"/>
  </cols>
  <sheetData>
    <row r="2" spans="1:20" ht="20.25" x14ac:dyDescent="0.3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</row>
    <row r="3" spans="1:20" ht="21.6" thickBot="1" x14ac:dyDescent="0.45">
      <c r="A3" s="1"/>
      <c r="B3" s="3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  <c r="O3" s="1"/>
      <c r="P3" s="1"/>
      <c r="Q3" s="1"/>
      <c r="R3" s="1"/>
      <c r="S3" s="1"/>
      <c r="T3" s="1"/>
    </row>
    <row r="4" spans="1:20" ht="27.6" x14ac:dyDescent="0.3">
      <c r="A4" s="194">
        <v>1</v>
      </c>
      <c r="B4" s="4" t="s">
        <v>1</v>
      </c>
      <c r="C4" s="5" t="s">
        <v>2</v>
      </c>
      <c r="D4" s="6" t="s">
        <v>3</v>
      </c>
      <c r="E4" s="7"/>
      <c r="F4" s="7"/>
      <c r="G4" s="7"/>
      <c r="H4" s="7"/>
      <c r="I4" s="7"/>
      <c r="J4" s="7"/>
      <c r="K4" s="7"/>
      <c r="L4" s="7"/>
      <c r="M4" s="7"/>
      <c r="N4" s="8"/>
      <c r="O4" s="8"/>
      <c r="P4" s="8"/>
      <c r="Q4" s="8"/>
      <c r="R4" s="8"/>
      <c r="S4" s="8"/>
      <c r="T4" s="8"/>
    </row>
    <row r="5" spans="1:20" x14ac:dyDescent="0.3">
      <c r="A5" s="194"/>
      <c r="B5" s="9" t="s">
        <v>4</v>
      </c>
      <c r="C5" s="123">
        <v>50000</v>
      </c>
      <c r="D5" s="11"/>
      <c r="E5" s="12"/>
      <c r="F5" s="12"/>
      <c r="G5" s="12"/>
      <c r="H5" s="12"/>
      <c r="I5" s="12"/>
      <c r="J5" s="12"/>
      <c r="K5" s="12"/>
      <c r="L5" s="12"/>
      <c r="M5" s="12"/>
      <c r="N5" s="13"/>
      <c r="O5" s="13"/>
      <c r="P5" s="13"/>
      <c r="Q5" s="13"/>
      <c r="R5" s="13"/>
      <c r="S5" s="13"/>
      <c r="T5" s="13"/>
    </row>
    <row r="6" spans="1:20" x14ac:dyDescent="0.3">
      <c r="A6" s="194"/>
      <c r="B6" s="9" t="s">
        <v>5</v>
      </c>
      <c r="C6" s="123">
        <v>140000</v>
      </c>
      <c r="D6" s="14">
        <v>25</v>
      </c>
      <c r="E6" s="12"/>
      <c r="F6" s="12"/>
      <c r="G6" s="198"/>
      <c r="H6" s="198"/>
      <c r="I6" s="12"/>
      <c r="J6" s="12"/>
      <c r="K6" s="12"/>
      <c r="L6" s="12"/>
      <c r="M6" s="12"/>
      <c r="N6" s="13"/>
      <c r="O6" s="13"/>
      <c r="P6" s="13"/>
      <c r="Q6" s="13"/>
      <c r="R6" s="13"/>
      <c r="S6" s="13"/>
      <c r="T6" s="13"/>
    </row>
    <row r="7" spans="1:20" x14ac:dyDescent="0.3">
      <c r="A7" s="194"/>
      <c r="B7" s="9" t="s">
        <v>6</v>
      </c>
      <c r="C7" s="50"/>
      <c r="D7" s="14"/>
      <c r="E7" s="12"/>
      <c r="F7" s="12"/>
      <c r="G7" s="12"/>
      <c r="H7" s="12"/>
      <c r="I7" s="12"/>
      <c r="J7" s="12"/>
      <c r="K7" s="12"/>
      <c r="L7" s="12"/>
      <c r="M7" s="12"/>
      <c r="N7" s="13"/>
      <c r="O7" s="13"/>
      <c r="P7" s="13"/>
      <c r="Q7" s="13"/>
      <c r="R7" s="13"/>
      <c r="S7" s="13"/>
      <c r="T7" s="13"/>
    </row>
    <row r="8" spans="1:20" x14ac:dyDescent="0.3">
      <c r="A8" s="194"/>
      <c r="B8" s="9" t="s">
        <v>7</v>
      </c>
      <c r="C8" s="123">
        <v>150000</v>
      </c>
      <c r="D8" s="14">
        <v>10</v>
      </c>
      <c r="E8" s="12"/>
      <c r="F8" s="12"/>
      <c r="G8" s="12"/>
      <c r="H8" s="12"/>
      <c r="I8" s="12"/>
      <c r="J8" s="12"/>
      <c r="K8" s="12"/>
      <c r="L8" s="12"/>
      <c r="M8" s="12"/>
      <c r="N8" s="13"/>
      <c r="O8" s="13"/>
      <c r="P8" s="13"/>
      <c r="Q8" s="13"/>
      <c r="R8" s="13"/>
      <c r="S8" s="13"/>
      <c r="T8" s="13"/>
    </row>
    <row r="9" spans="1:20" x14ac:dyDescent="0.3">
      <c r="A9" s="194"/>
      <c r="B9" s="9" t="s">
        <v>8</v>
      </c>
      <c r="C9" s="123">
        <v>40000</v>
      </c>
      <c r="D9" s="14">
        <v>10</v>
      </c>
      <c r="E9" s="12"/>
      <c r="F9" s="12"/>
      <c r="G9" s="12"/>
      <c r="H9" s="12"/>
      <c r="I9" s="12"/>
      <c r="J9" s="12"/>
      <c r="K9" s="12"/>
      <c r="L9" s="12"/>
      <c r="M9" s="12"/>
      <c r="N9" s="13"/>
      <c r="O9" s="13"/>
      <c r="P9" s="13"/>
      <c r="Q9" s="13"/>
      <c r="R9" s="13"/>
      <c r="S9" s="13"/>
      <c r="T9" s="13"/>
    </row>
    <row r="10" spans="1:20" ht="15" thickBot="1" x14ac:dyDescent="0.35">
      <c r="A10" s="194"/>
      <c r="B10" s="16" t="s">
        <v>9</v>
      </c>
      <c r="C10" s="124">
        <v>90000</v>
      </c>
      <c r="D10" s="17">
        <v>10</v>
      </c>
      <c r="E10" s="12"/>
      <c r="F10" s="12"/>
      <c r="G10" s="12"/>
      <c r="H10" s="12"/>
      <c r="I10" s="12"/>
      <c r="J10" s="12"/>
      <c r="K10" s="12"/>
      <c r="L10" s="12"/>
      <c r="M10" s="12"/>
      <c r="N10" s="13"/>
      <c r="O10" s="13"/>
      <c r="P10" s="13"/>
      <c r="Q10" s="13"/>
      <c r="R10" s="13"/>
      <c r="S10" s="13"/>
      <c r="T10" s="13"/>
    </row>
    <row r="11" spans="1:20" ht="33.75" thickBot="1" x14ac:dyDescent="0.3">
      <c r="A11" s="18"/>
      <c r="B11" s="19" t="s">
        <v>10</v>
      </c>
      <c r="C11" s="125">
        <f>SUM(C5:C10)</f>
        <v>470000</v>
      </c>
      <c r="D11" s="20"/>
      <c r="E11" s="12"/>
      <c r="F11" s="12"/>
      <c r="G11" s="12"/>
      <c r="H11" s="12"/>
      <c r="I11" s="12"/>
      <c r="J11" s="12"/>
      <c r="K11" s="12"/>
      <c r="L11" s="12"/>
      <c r="M11" s="12"/>
      <c r="N11" s="13"/>
      <c r="O11" s="13"/>
      <c r="P11" s="13"/>
      <c r="Q11" s="13"/>
      <c r="R11" s="13"/>
      <c r="S11" s="13"/>
      <c r="T11" s="13"/>
    </row>
    <row r="12" spans="1:20" ht="33" x14ac:dyDescent="0.25">
      <c r="A12" s="18"/>
      <c r="B12" s="21"/>
      <c r="C12" s="22"/>
      <c r="D12" s="23"/>
      <c r="E12" s="12"/>
      <c r="F12" s="12"/>
      <c r="G12" s="12"/>
      <c r="H12" s="12"/>
      <c r="I12" s="12"/>
      <c r="J12" s="12"/>
      <c r="K12" s="12"/>
      <c r="L12" s="12"/>
      <c r="M12" s="12"/>
      <c r="N12" s="13"/>
      <c r="O12" s="13"/>
      <c r="P12" s="13"/>
      <c r="Q12" s="13"/>
      <c r="R12" s="13"/>
      <c r="S12" s="13"/>
      <c r="T12" s="13"/>
    </row>
    <row r="13" spans="1:20" ht="18.75" thickBot="1" x14ac:dyDescent="0.3">
      <c r="A13" s="13"/>
      <c r="B13" s="3" t="s">
        <v>11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3"/>
      <c r="O13" s="13"/>
      <c r="P13" s="13"/>
      <c r="Q13" s="13"/>
      <c r="R13" s="13"/>
      <c r="S13" s="13"/>
      <c r="T13" s="13"/>
    </row>
    <row r="14" spans="1:20" x14ac:dyDescent="0.3">
      <c r="A14" s="24"/>
      <c r="B14" s="141" t="s">
        <v>86</v>
      </c>
      <c r="C14" s="142" t="s">
        <v>87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3"/>
      <c r="O14" s="13"/>
      <c r="P14" s="13"/>
      <c r="Q14" s="13"/>
      <c r="R14" s="13"/>
      <c r="S14" s="13"/>
      <c r="T14" s="13"/>
    </row>
    <row r="15" spans="1:20" x14ac:dyDescent="0.3">
      <c r="A15" s="25"/>
      <c r="B15" s="26" t="s">
        <v>3</v>
      </c>
      <c r="C15" s="143">
        <v>10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3"/>
      <c r="O15" s="13"/>
      <c r="P15" s="13"/>
      <c r="Q15" s="13"/>
      <c r="R15" s="13"/>
      <c r="S15" s="13"/>
      <c r="T15" s="13"/>
    </row>
    <row r="16" spans="1:20" x14ac:dyDescent="0.3">
      <c r="A16" s="199">
        <v>2</v>
      </c>
      <c r="B16" s="27" t="s">
        <v>12</v>
      </c>
      <c r="C16" s="127">
        <v>5000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/>
      <c r="O16" s="13"/>
      <c r="P16" s="13"/>
      <c r="Q16" s="13"/>
      <c r="R16" s="13"/>
      <c r="S16" s="13"/>
      <c r="T16" s="13"/>
    </row>
    <row r="17" spans="1:20" x14ac:dyDescent="0.3">
      <c r="A17" s="199"/>
      <c r="B17" s="27" t="s">
        <v>13</v>
      </c>
      <c r="C17" s="127">
        <v>80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3"/>
      <c r="O17" s="13"/>
      <c r="P17" s="13"/>
      <c r="Q17" s="13"/>
      <c r="R17" s="13"/>
      <c r="S17" s="13"/>
      <c r="T17" s="13"/>
    </row>
    <row r="18" spans="1:20" x14ac:dyDescent="0.3">
      <c r="A18" s="199"/>
      <c r="B18" s="27" t="s">
        <v>14</v>
      </c>
      <c r="C18" s="127">
        <v>20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3"/>
      <c r="O18" s="13"/>
      <c r="P18" s="13"/>
      <c r="Q18" s="13"/>
      <c r="R18" s="13"/>
      <c r="S18" s="13"/>
      <c r="T18" s="13"/>
    </row>
    <row r="19" spans="1:20" ht="15" thickBot="1" x14ac:dyDescent="0.35">
      <c r="A19" s="200"/>
      <c r="B19" s="28" t="s">
        <v>15</v>
      </c>
      <c r="C19" s="144">
        <v>40000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3"/>
      <c r="O19" s="13"/>
      <c r="P19" s="13"/>
      <c r="Q19" s="13"/>
      <c r="R19" s="13"/>
      <c r="S19" s="13"/>
      <c r="T19" s="13"/>
    </row>
    <row r="20" spans="1:20" ht="33" x14ac:dyDescent="0.25">
      <c r="A20" s="18"/>
      <c r="B20" s="27" t="s">
        <v>16</v>
      </c>
      <c r="C20" s="145">
        <v>0.11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3"/>
      <c r="O20" s="13"/>
      <c r="P20" s="13"/>
      <c r="Q20" s="13"/>
      <c r="R20" s="13"/>
      <c r="S20" s="13"/>
      <c r="T20" s="13"/>
    </row>
    <row r="21" spans="1:20" ht="33" x14ac:dyDescent="0.25">
      <c r="A21" s="18"/>
      <c r="B21" s="27" t="s">
        <v>17</v>
      </c>
      <c r="C21" s="145">
        <v>0.02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3"/>
      <c r="O21" s="13"/>
      <c r="P21" s="13"/>
      <c r="Q21" s="13"/>
      <c r="R21" s="13"/>
      <c r="S21" s="13"/>
      <c r="T21" s="13"/>
    </row>
    <row r="22" spans="1:20" ht="33.75" thickBot="1" x14ac:dyDescent="0.3">
      <c r="A22" s="18"/>
      <c r="B22" s="29" t="s">
        <v>18</v>
      </c>
      <c r="C22" s="146">
        <v>0.22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3"/>
      <c r="O22" s="13"/>
      <c r="P22" s="13"/>
      <c r="Q22" s="13"/>
      <c r="R22" s="13"/>
      <c r="S22" s="13"/>
      <c r="T22" s="13"/>
    </row>
    <row r="23" spans="1:20" ht="15" x14ac:dyDescent="0.25">
      <c r="A23" s="13"/>
      <c r="B23" s="13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3"/>
      <c r="O23" s="13"/>
      <c r="P23" s="13"/>
      <c r="Q23" s="13"/>
      <c r="R23" s="13"/>
      <c r="S23" s="13"/>
      <c r="T23" s="13"/>
    </row>
    <row r="24" spans="1:20" ht="20.25" x14ac:dyDescent="0.3">
      <c r="A24" s="1"/>
      <c r="B24" s="3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3"/>
      <c r="O24" s="13"/>
      <c r="P24" s="13"/>
      <c r="Q24" s="13"/>
      <c r="R24" s="13"/>
      <c r="S24" s="13"/>
      <c r="T24" s="13"/>
    </row>
    <row r="25" spans="1:20" ht="18.75" thickBot="1" x14ac:dyDescent="0.3">
      <c r="A25" s="13"/>
      <c r="B25" s="3" t="s">
        <v>19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3"/>
      <c r="O25" s="13"/>
      <c r="P25" s="13"/>
      <c r="Q25" s="13"/>
      <c r="R25" s="13"/>
      <c r="S25" s="13"/>
      <c r="T25" s="13"/>
    </row>
    <row r="26" spans="1:20" ht="15" thickTop="1" x14ac:dyDescent="0.3">
      <c r="A26" s="201">
        <v>3</v>
      </c>
      <c r="B26" s="30" t="s">
        <v>20</v>
      </c>
      <c r="C26" s="31">
        <v>1</v>
      </c>
      <c r="D26" s="31">
        <v>2</v>
      </c>
      <c r="E26" s="31">
        <v>3</v>
      </c>
      <c r="F26" s="31">
        <v>4</v>
      </c>
      <c r="G26" s="31">
        <v>5</v>
      </c>
      <c r="H26" s="31">
        <v>6</v>
      </c>
      <c r="I26" s="31">
        <v>7</v>
      </c>
      <c r="J26" s="31">
        <v>8</v>
      </c>
      <c r="K26" s="31">
        <v>9</v>
      </c>
      <c r="L26" s="32">
        <v>10</v>
      </c>
      <c r="M26" s="33"/>
      <c r="N26" s="13"/>
      <c r="O26" s="13"/>
      <c r="P26" s="13"/>
      <c r="Q26" s="13"/>
      <c r="R26" s="13"/>
      <c r="S26" s="13"/>
      <c r="T26" s="13"/>
    </row>
    <row r="27" spans="1:20" x14ac:dyDescent="0.3">
      <c r="A27" s="201"/>
      <c r="B27" s="34" t="s">
        <v>21</v>
      </c>
      <c r="C27" s="15">
        <v>60</v>
      </c>
      <c r="D27" s="15">
        <v>80</v>
      </c>
      <c r="E27" s="15">
        <v>100</v>
      </c>
      <c r="F27" s="15">
        <v>100</v>
      </c>
      <c r="G27" s="15">
        <v>100</v>
      </c>
      <c r="H27" s="15">
        <v>100</v>
      </c>
      <c r="I27" s="15">
        <v>100</v>
      </c>
      <c r="J27" s="15">
        <v>100</v>
      </c>
      <c r="K27" s="15">
        <v>100</v>
      </c>
      <c r="L27" s="35">
        <v>100</v>
      </c>
      <c r="M27" s="12"/>
      <c r="N27" s="13"/>
      <c r="O27" s="13"/>
      <c r="P27" s="13"/>
      <c r="Q27" s="13"/>
      <c r="R27" s="13"/>
      <c r="S27" s="13"/>
      <c r="T27" s="13"/>
    </row>
    <row r="28" spans="1:20" x14ac:dyDescent="0.3">
      <c r="A28" s="201"/>
      <c r="B28" s="34" t="s">
        <v>22</v>
      </c>
      <c r="C28" s="15">
        <f>$C16*C27/100</f>
        <v>3000</v>
      </c>
      <c r="D28" s="15">
        <f t="shared" ref="D28:L28" si="0">$C16*D27/100</f>
        <v>4000</v>
      </c>
      <c r="E28" s="15">
        <f t="shared" si="0"/>
        <v>5000</v>
      </c>
      <c r="F28" s="15">
        <f t="shared" si="0"/>
        <v>5000</v>
      </c>
      <c r="G28" s="15">
        <f t="shared" si="0"/>
        <v>5000</v>
      </c>
      <c r="H28" s="15">
        <f t="shared" si="0"/>
        <v>5000</v>
      </c>
      <c r="I28" s="15">
        <f t="shared" si="0"/>
        <v>5000</v>
      </c>
      <c r="J28" s="15">
        <f t="shared" si="0"/>
        <v>5000</v>
      </c>
      <c r="K28" s="15">
        <f t="shared" si="0"/>
        <v>5000</v>
      </c>
      <c r="L28" s="15">
        <f t="shared" si="0"/>
        <v>5000</v>
      </c>
      <c r="M28" s="12"/>
      <c r="N28" s="13"/>
      <c r="O28" s="13"/>
      <c r="P28" s="13"/>
      <c r="Q28" s="13"/>
      <c r="R28" s="13"/>
      <c r="S28" s="13"/>
      <c r="T28" s="13"/>
    </row>
    <row r="29" spans="1:20" x14ac:dyDescent="0.3">
      <c r="A29" s="201"/>
      <c r="B29" s="34" t="s">
        <v>23</v>
      </c>
      <c r="C29" s="15">
        <f>C28*$C$17</f>
        <v>240000</v>
      </c>
      <c r="D29" s="15">
        <f t="shared" ref="D29:L29" si="1">D28*$C$17</f>
        <v>320000</v>
      </c>
      <c r="E29" s="15">
        <f t="shared" si="1"/>
        <v>400000</v>
      </c>
      <c r="F29" s="15">
        <f t="shared" si="1"/>
        <v>400000</v>
      </c>
      <c r="G29" s="15">
        <f t="shared" si="1"/>
        <v>400000</v>
      </c>
      <c r="H29" s="15">
        <f t="shared" si="1"/>
        <v>400000</v>
      </c>
      <c r="I29" s="15">
        <f t="shared" si="1"/>
        <v>400000</v>
      </c>
      <c r="J29" s="15">
        <f t="shared" si="1"/>
        <v>400000</v>
      </c>
      <c r="K29" s="15">
        <f t="shared" si="1"/>
        <v>400000</v>
      </c>
      <c r="L29" s="15">
        <f t="shared" si="1"/>
        <v>400000</v>
      </c>
      <c r="M29" s="12"/>
      <c r="N29" s="13"/>
      <c r="O29" s="13"/>
      <c r="P29" s="13"/>
      <c r="Q29" s="13"/>
      <c r="R29" s="13"/>
      <c r="S29" s="13"/>
      <c r="T29" s="13"/>
    </row>
    <row r="30" spans="1:20" x14ac:dyDescent="0.3">
      <c r="A30" s="201"/>
      <c r="B30" s="34" t="s">
        <v>24</v>
      </c>
      <c r="C30" s="15">
        <f>$C$18*C28</f>
        <v>60000</v>
      </c>
      <c r="D30" s="15">
        <f t="shared" ref="D30:L30" si="2">$C$18*D28</f>
        <v>80000</v>
      </c>
      <c r="E30" s="15">
        <f t="shared" si="2"/>
        <v>100000</v>
      </c>
      <c r="F30" s="15">
        <f t="shared" si="2"/>
        <v>100000</v>
      </c>
      <c r="G30" s="15">
        <f t="shared" si="2"/>
        <v>100000</v>
      </c>
      <c r="H30" s="15">
        <f t="shared" si="2"/>
        <v>100000</v>
      </c>
      <c r="I30" s="15">
        <f t="shared" si="2"/>
        <v>100000</v>
      </c>
      <c r="J30" s="15">
        <f t="shared" si="2"/>
        <v>100000</v>
      </c>
      <c r="K30" s="15">
        <f t="shared" si="2"/>
        <v>100000</v>
      </c>
      <c r="L30" s="15">
        <f t="shared" si="2"/>
        <v>100000</v>
      </c>
      <c r="M30" s="12"/>
      <c r="N30" s="13"/>
      <c r="O30" s="13"/>
      <c r="P30" s="13"/>
      <c r="Q30" s="13"/>
      <c r="R30" s="13"/>
      <c r="S30" s="13"/>
      <c r="T30" s="13"/>
    </row>
    <row r="31" spans="1:20" ht="15" thickBot="1" x14ac:dyDescent="0.35">
      <c r="A31" s="201"/>
      <c r="B31" s="36" t="s">
        <v>25</v>
      </c>
      <c r="C31" s="37">
        <f>$C19</f>
        <v>40000</v>
      </c>
      <c r="D31" s="37">
        <f t="shared" ref="D31:L31" si="3">$C19</f>
        <v>40000</v>
      </c>
      <c r="E31" s="37">
        <f t="shared" si="3"/>
        <v>40000</v>
      </c>
      <c r="F31" s="37">
        <f t="shared" si="3"/>
        <v>40000</v>
      </c>
      <c r="G31" s="37">
        <f t="shared" si="3"/>
        <v>40000</v>
      </c>
      <c r="H31" s="37">
        <f t="shared" si="3"/>
        <v>40000</v>
      </c>
      <c r="I31" s="37">
        <f t="shared" si="3"/>
        <v>40000</v>
      </c>
      <c r="J31" s="37">
        <f t="shared" si="3"/>
        <v>40000</v>
      </c>
      <c r="K31" s="37">
        <f t="shared" si="3"/>
        <v>40000</v>
      </c>
      <c r="L31" s="37">
        <f t="shared" si="3"/>
        <v>40000</v>
      </c>
      <c r="M31" s="12"/>
      <c r="N31" s="13"/>
      <c r="O31" s="13"/>
      <c r="P31" s="13"/>
      <c r="Q31" s="13"/>
      <c r="R31" s="13"/>
      <c r="S31" s="13"/>
      <c r="T31" s="13"/>
    </row>
    <row r="32" spans="1:20" ht="15.75" thickTop="1" x14ac:dyDescent="0.25">
      <c r="A32" s="13"/>
      <c r="B32" s="13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3"/>
      <c r="O32" s="13"/>
      <c r="P32" s="13"/>
      <c r="Q32" s="13"/>
      <c r="R32" s="13"/>
      <c r="S32" s="13"/>
      <c r="T32" s="13"/>
    </row>
    <row r="33" spans="1:20" ht="20.25" x14ac:dyDescent="0.25">
      <c r="A33" s="38"/>
      <c r="B33" s="13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3"/>
      <c r="O33" s="13"/>
      <c r="P33" s="13"/>
      <c r="Q33" s="13"/>
      <c r="R33" s="13"/>
      <c r="S33" s="13"/>
      <c r="T33" s="13"/>
    </row>
    <row r="34" spans="1:20" ht="18" thickBot="1" x14ac:dyDescent="0.35">
      <c r="A34" s="39"/>
      <c r="B34" s="3" t="s">
        <v>26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3"/>
      <c r="O34" s="13"/>
      <c r="P34" s="13"/>
      <c r="Q34" s="13"/>
      <c r="R34" s="13"/>
      <c r="S34" s="13"/>
      <c r="T34" s="13"/>
    </row>
    <row r="35" spans="1:20" x14ac:dyDescent="0.3">
      <c r="A35" s="192">
        <v>4</v>
      </c>
      <c r="B35" s="40"/>
      <c r="C35" s="41"/>
      <c r="D35" s="41"/>
      <c r="E35" s="41"/>
      <c r="F35" s="202" t="s">
        <v>27</v>
      </c>
      <c r="G35" s="203"/>
      <c r="H35" s="12"/>
      <c r="I35" s="12"/>
      <c r="J35" s="12"/>
      <c r="K35" s="12"/>
      <c r="L35" s="12"/>
      <c r="M35" s="12"/>
      <c r="N35" s="13"/>
      <c r="O35" s="13"/>
      <c r="P35" s="13"/>
      <c r="Q35" s="13"/>
      <c r="R35" s="13"/>
      <c r="S35" s="13"/>
      <c r="T35" s="13"/>
    </row>
    <row r="36" spans="1:20" x14ac:dyDescent="0.3">
      <c r="A36" s="192"/>
      <c r="B36" s="42" t="s">
        <v>1</v>
      </c>
      <c r="C36" s="135" t="s">
        <v>28</v>
      </c>
      <c r="D36" s="135" t="s">
        <v>29</v>
      </c>
      <c r="E36" s="135" t="s">
        <v>30</v>
      </c>
      <c r="F36" s="135" t="s">
        <v>31</v>
      </c>
      <c r="G36" s="136" t="s">
        <v>32</v>
      </c>
      <c r="H36" s="12"/>
      <c r="I36" s="12"/>
      <c r="J36" s="12"/>
      <c r="K36" s="12"/>
      <c r="L36" s="12"/>
      <c r="M36" s="12"/>
      <c r="N36" s="13"/>
      <c r="O36" s="13"/>
      <c r="P36" s="13"/>
      <c r="Q36" s="13"/>
      <c r="R36" s="13"/>
      <c r="S36" s="13"/>
      <c r="T36" s="13"/>
    </row>
    <row r="37" spans="1:20" x14ac:dyDescent="0.3">
      <c r="A37" s="192"/>
      <c r="B37" s="43" t="s">
        <v>5</v>
      </c>
      <c r="C37" s="54">
        <f>C6</f>
        <v>140000</v>
      </c>
      <c r="D37" s="54">
        <f>D6</f>
        <v>25</v>
      </c>
      <c r="E37" s="54">
        <f>C37/D37</f>
        <v>5600</v>
      </c>
      <c r="F37" s="50"/>
      <c r="G37" s="126">
        <f>C37-(E37*10)</f>
        <v>84000</v>
      </c>
      <c r="H37" s="12"/>
      <c r="I37" s="12"/>
      <c r="J37" s="12"/>
      <c r="K37" s="12"/>
      <c r="L37" s="12"/>
      <c r="M37" s="12"/>
      <c r="N37" s="13"/>
      <c r="O37" s="13"/>
      <c r="P37" s="13"/>
      <c r="Q37" s="13"/>
      <c r="R37" s="13"/>
      <c r="S37" s="13"/>
      <c r="T37" s="13"/>
    </row>
    <row r="38" spans="1:20" x14ac:dyDescent="0.3">
      <c r="A38" s="192"/>
      <c r="B38" s="43" t="s">
        <v>7</v>
      </c>
      <c r="C38" s="54">
        <f t="shared" ref="C38:D40" si="4">C8</f>
        <v>150000</v>
      </c>
      <c r="D38" s="54">
        <f t="shared" si="4"/>
        <v>10</v>
      </c>
      <c r="E38" s="54">
        <v>20000</v>
      </c>
      <c r="F38" s="50"/>
      <c r="G38" s="127"/>
      <c r="H38" s="12"/>
      <c r="I38" s="12"/>
      <c r="J38" s="12"/>
      <c r="K38" s="12"/>
      <c r="L38" s="12"/>
      <c r="M38" s="12"/>
      <c r="N38" s="13"/>
      <c r="O38" s="13"/>
      <c r="P38" s="13"/>
      <c r="Q38" s="13"/>
      <c r="R38" s="13"/>
      <c r="S38" s="13"/>
      <c r="T38" s="13"/>
    </row>
    <row r="39" spans="1:20" x14ac:dyDescent="0.3">
      <c r="A39" s="192"/>
      <c r="B39" s="43" t="s">
        <v>8</v>
      </c>
      <c r="C39" s="54">
        <f t="shared" si="4"/>
        <v>40000</v>
      </c>
      <c r="D39" s="54">
        <f t="shared" si="4"/>
        <v>10</v>
      </c>
      <c r="E39" s="54">
        <f>C39*10%</f>
        <v>4000</v>
      </c>
      <c r="F39" s="54"/>
      <c r="G39" s="127"/>
      <c r="H39" s="12"/>
      <c r="I39" s="12"/>
      <c r="J39" s="12"/>
      <c r="K39" s="12"/>
      <c r="L39" s="12"/>
      <c r="M39" s="12"/>
      <c r="N39" s="13"/>
      <c r="O39" s="13"/>
      <c r="P39" s="13"/>
      <c r="Q39" s="13"/>
      <c r="R39" s="13"/>
      <c r="S39" s="13"/>
      <c r="T39" s="13"/>
    </row>
    <row r="40" spans="1:20" ht="15" thickBot="1" x14ac:dyDescent="0.35">
      <c r="A40" s="192"/>
      <c r="B40" s="45" t="s">
        <v>9</v>
      </c>
      <c r="C40" s="128">
        <f t="shared" si="4"/>
        <v>90000</v>
      </c>
      <c r="D40" s="128">
        <f t="shared" si="4"/>
        <v>10</v>
      </c>
      <c r="E40" s="128">
        <f>C40*20%</f>
        <v>18000</v>
      </c>
      <c r="F40" s="129"/>
      <c r="G40" s="130"/>
      <c r="H40" s="12"/>
      <c r="I40" s="12"/>
      <c r="J40" s="12"/>
      <c r="K40" s="12"/>
      <c r="L40" s="12"/>
      <c r="M40" s="12"/>
      <c r="N40" s="13"/>
      <c r="O40" s="13"/>
      <c r="P40" s="13"/>
      <c r="Q40" s="13"/>
      <c r="R40" s="13"/>
      <c r="S40" s="13"/>
      <c r="T40" s="13"/>
    </row>
    <row r="41" spans="1:20" ht="33" thickBot="1" x14ac:dyDescent="0.35">
      <c r="A41" s="18"/>
      <c r="B41" s="46" t="s">
        <v>33</v>
      </c>
      <c r="C41" s="131"/>
      <c r="D41" s="131"/>
      <c r="E41" s="132">
        <f>SUM(E37:E40)</f>
        <v>47600</v>
      </c>
      <c r="F41" s="133"/>
      <c r="G41" s="134"/>
      <c r="H41" s="12"/>
      <c r="I41" s="12"/>
      <c r="J41" s="12"/>
      <c r="K41" s="12"/>
      <c r="L41" s="12"/>
      <c r="M41" s="12"/>
      <c r="N41" s="13"/>
      <c r="O41" s="13"/>
      <c r="P41" s="13"/>
      <c r="Q41" s="13"/>
      <c r="R41" s="13"/>
      <c r="S41" s="13"/>
      <c r="T41" s="13"/>
    </row>
    <row r="42" spans="1:20" ht="33" x14ac:dyDescent="0.25">
      <c r="A42" s="18"/>
      <c r="B42" s="47"/>
      <c r="C42" s="48"/>
      <c r="D42" s="48"/>
      <c r="E42" s="48"/>
      <c r="F42" s="49"/>
      <c r="G42" s="48"/>
      <c r="H42" s="12"/>
      <c r="I42" s="12"/>
      <c r="J42" s="12"/>
      <c r="K42" s="12"/>
      <c r="L42" s="12"/>
      <c r="M42" s="12"/>
      <c r="N42" s="13"/>
      <c r="O42" s="13"/>
      <c r="P42" s="13"/>
      <c r="Q42" s="13"/>
      <c r="R42" s="13"/>
      <c r="S42" s="13"/>
      <c r="T42" s="13"/>
    </row>
    <row r="43" spans="1:20" ht="20.25" x14ac:dyDescent="0.3">
      <c r="A43" s="1"/>
      <c r="B43" s="3" t="s">
        <v>34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1"/>
      <c r="O43" s="1"/>
      <c r="P43" s="1"/>
      <c r="Q43" s="1"/>
      <c r="R43" s="1"/>
      <c r="S43" s="1"/>
      <c r="T43" s="1"/>
    </row>
    <row r="44" spans="1:20" x14ac:dyDescent="0.3">
      <c r="A44" s="192">
        <v>5</v>
      </c>
      <c r="B44" s="193" t="s">
        <v>35</v>
      </c>
      <c r="C44" s="193"/>
      <c r="D44" s="147" t="s">
        <v>36</v>
      </c>
      <c r="E44" s="147" t="s">
        <v>37</v>
      </c>
      <c r="F44" s="15"/>
      <c r="G44" s="12"/>
      <c r="H44" s="12"/>
      <c r="I44" s="12"/>
      <c r="J44" s="12"/>
      <c r="K44" s="12"/>
      <c r="L44" s="12"/>
      <c r="M44" s="12"/>
      <c r="N44" s="13"/>
      <c r="O44" s="13"/>
      <c r="P44" s="13"/>
      <c r="Q44" s="13"/>
      <c r="R44" s="13"/>
      <c r="S44" s="13"/>
      <c r="T44" s="13"/>
    </row>
    <row r="45" spans="1:20" x14ac:dyDescent="0.3">
      <c r="A45" s="192"/>
      <c r="B45" s="51" t="s">
        <v>38</v>
      </c>
      <c r="C45" s="52" t="s">
        <v>39</v>
      </c>
      <c r="D45" s="53">
        <v>0.25</v>
      </c>
      <c r="E45" s="15">
        <f>C29</f>
        <v>240000</v>
      </c>
      <c r="F45" s="15">
        <f>D45*E45</f>
        <v>60000</v>
      </c>
      <c r="G45" s="12"/>
      <c r="H45" s="12"/>
      <c r="I45" s="12"/>
      <c r="J45" s="12"/>
      <c r="K45" s="12"/>
      <c r="L45" s="12"/>
      <c r="M45" s="12"/>
      <c r="N45" s="13"/>
      <c r="O45" s="13"/>
      <c r="P45" s="13"/>
      <c r="Q45" s="13"/>
      <c r="R45" s="13"/>
      <c r="S45" s="13"/>
      <c r="T45" s="13"/>
    </row>
    <row r="46" spans="1:20" ht="27.6" x14ac:dyDescent="0.3">
      <c r="A46" s="192"/>
      <c r="B46" s="51" t="s">
        <v>40</v>
      </c>
      <c r="C46" s="10" t="s">
        <v>41</v>
      </c>
      <c r="D46" s="53">
        <v>0.3</v>
      </c>
      <c r="E46" s="15">
        <f>C30+C31</f>
        <v>100000</v>
      </c>
      <c r="F46" s="15">
        <f>D46*E46</f>
        <v>30000</v>
      </c>
      <c r="G46" s="12"/>
      <c r="H46" s="12"/>
      <c r="I46" s="12"/>
      <c r="J46" s="12"/>
      <c r="K46" s="12"/>
      <c r="L46" s="12"/>
      <c r="M46" s="12"/>
      <c r="N46" s="13"/>
      <c r="O46" s="13"/>
      <c r="P46" s="13"/>
      <c r="Q46" s="13"/>
      <c r="R46" s="13"/>
      <c r="S46" s="13"/>
      <c r="T46" s="13"/>
    </row>
    <row r="47" spans="1:20" x14ac:dyDescent="0.3">
      <c r="A47" s="192"/>
      <c r="B47" s="51" t="s">
        <v>42</v>
      </c>
      <c r="C47" s="54" t="s">
        <v>43</v>
      </c>
      <c r="D47" s="15"/>
      <c r="E47" s="15"/>
      <c r="F47" s="15">
        <f>F45-F46</f>
        <v>30000</v>
      </c>
      <c r="G47" s="12"/>
      <c r="H47" s="12"/>
      <c r="I47" s="12"/>
      <c r="J47" s="12"/>
      <c r="K47" s="12"/>
      <c r="L47" s="12"/>
      <c r="M47" s="12"/>
      <c r="N47" s="13"/>
      <c r="O47" s="13"/>
      <c r="P47" s="13"/>
      <c r="Q47" s="13"/>
      <c r="R47" s="13"/>
      <c r="S47" s="13"/>
      <c r="T47" s="13"/>
    </row>
    <row r="48" spans="1:20" ht="15" x14ac:dyDescent="0.25">
      <c r="A48" s="13"/>
      <c r="B48" s="13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3"/>
      <c r="O48" s="13"/>
      <c r="P48" s="13"/>
      <c r="Q48" s="13"/>
      <c r="R48" s="13"/>
      <c r="S48" s="13"/>
      <c r="T48" s="13"/>
    </row>
    <row r="49" spans="1:20" ht="21" thickBot="1" x14ac:dyDescent="0.35">
      <c r="A49" s="1"/>
      <c r="B49" s="3" t="s">
        <v>44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3"/>
      <c r="O49" s="13"/>
      <c r="P49" s="13"/>
      <c r="Q49" s="13"/>
      <c r="R49" s="13"/>
      <c r="S49" s="13"/>
      <c r="T49" s="13"/>
    </row>
    <row r="50" spans="1:20" x14ac:dyDescent="0.3">
      <c r="A50" s="194">
        <v>6</v>
      </c>
      <c r="B50" s="55" t="s">
        <v>45</v>
      </c>
      <c r="C50" s="56">
        <v>1</v>
      </c>
      <c r="D50" s="56">
        <v>2</v>
      </c>
      <c r="E50" s="56">
        <v>3</v>
      </c>
      <c r="F50" s="56">
        <v>4</v>
      </c>
      <c r="G50" s="56">
        <v>5</v>
      </c>
      <c r="H50" s="56">
        <v>6</v>
      </c>
      <c r="I50" s="56">
        <v>7</v>
      </c>
      <c r="J50" s="56">
        <v>8</v>
      </c>
      <c r="K50" s="56">
        <v>9</v>
      </c>
      <c r="L50" s="57">
        <v>10</v>
      </c>
      <c r="M50" s="33"/>
      <c r="N50" s="13"/>
      <c r="O50" s="13"/>
      <c r="P50" s="13"/>
      <c r="Q50" s="13"/>
      <c r="R50" s="13"/>
      <c r="S50" s="13"/>
      <c r="T50" s="13"/>
    </row>
    <row r="51" spans="1:20" x14ac:dyDescent="0.3">
      <c r="A51" s="194"/>
      <c r="B51" s="27" t="s">
        <v>46</v>
      </c>
      <c r="C51" s="44">
        <f>C29</f>
        <v>240000</v>
      </c>
      <c r="D51" s="44">
        <f t="shared" ref="D51:L51" si="5">D29</f>
        <v>320000</v>
      </c>
      <c r="E51" s="44">
        <f t="shared" si="5"/>
        <v>400000</v>
      </c>
      <c r="F51" s="44">
        <f t="shared" si="5"/>
        <v>400000</v>
      </c>
      <c r="G51" s="44">
        <f t="shared" si="5"/>
        <v>400000</v>
      </c>
      <c r="H51" s="44">
        <f t="shared" si="5"/>
        <v>400000</v>
      </c>
      <c r="I51" s="44">
        <f t="shared" si="5"/>
        <v>400000</v>
      </c>
      <c r="J51" s="44">
        <f t="shared" si="5"/>
        <v>400000</v>
      </c>
      <c r="K51" s="44">
        <f t="shared" si="5"/>
        <v>400000</v>
      </c>
      <c r="L51" s="44">
        <f t="shared" si="5"/>
        <v>400000</v>
      </c>
      <c r="M51" s="48"/>
      <c r="N51" s="13"/>
      <c r="O51" s="13"/>
      <c r="P51" s="13"/>
      <c r="Q51" s="13"/>
      <c r="R51" s="13"/>
      <c r="S51" s="13"/>
      <c r="T51" s="13"/>
    </row>
    <row r="52" spans="1:20" x14ac:dyDescent="0.3">
      <c r="A52" s="194"/>
      <c r="B52" s="27" t="s">
        <v>47</v>
      </c>
      <c r="C52" s="44">
        <f>C51*$C20</f>
        <v>26400</v>
      </c>
      <c r="D52" s="44">
        <f t="shared" ref="D52:L52" si="6">D51*$C20</f>
        <v>35200</v>
      </c>
      <c r="E52" s="44">
        <f t="shared" si="6"/>
        <v>44000</v>
      </c>
      <c r="F52" s="44">
        <f t="shared" si="6"/>
        <v>44000</v>
      </c>
      <c r="G52" s="44">
        <f t="shared" si="6"/>
        <v>44000</v>
      </c>
      <c r="H52" s="44">
        <f t="shared" si="6"/>
        <v>44000</v>
      </c>
      <c r="I52" s="44">
        <f t="shared" si="6"/>
        <v>44000</v>
      </c>
      <c r="J52" s="44">
        <f t="shared" si="6"/>
        <v>44000</v>
      </c>
      <c r="K52" s="44">
        <f t="shared" si="6"/>
        <v>44000</v>
      </c>
      <c r="L52" s="44">
        <f t="shared" si="6"/>
        <v>44000</v>
      </c>
      <c r="M52" s="48"/>
      <c r="N52" s="13"/>
      <c r="O52" s="13"/>
      <c r="P52" s="13"/>
      <c r="Q52" s="13"/>
      <c r="R52" s="13"/>
      <c r="S52" s="13"/>
      <c r="T52" s="13"/>
    </row>
    <row r="53" spans="1:20" x14ac:dyDescent="0.3">
      <c r="A53" s="194"/>
      <c r="B53" s="27" t="s">
        <v>48</v>
      </c>
      <c r="C53" s="44">
        <f>(C57+C58)*$C20</f>
        <v>11000</v>
      </c>
      <c r="D53" s="44">
        <f t="shared" ref="D53:L53" si="7">(D30+D31)*$C20</f>
        <v>13200</v>
      </c>
      <c r="E53" s="44">
        <f t="shared" si="7"/>
        <v>15400</v>
      </c>
      <c r="F53" s="44">
        <f t="shared" si="7"/>
        <v>15400</v>
      </c>
      <c r="G53" s="44">
        <f t="shared" si="7"/>
        <v>15400</v>
      </c>
      <c r="H53" s="44">
        <f t="shared" si="7"/>
        <v>15400</v>
      </c>
      <c r="I53" s="44">
        <f t="shared" si="7"/>
        <v>15400</v>
      </c>
      <c r="J53" s="44">
        <f t="shared" si="7"/>
        <v>15400</v>
      </c>
      <c r="K53" s="44">
        <f t="shared" si="7"/>
        <v>15400</v>
      </c>
      <c r="L53" s="44">
        <f t="shared" si="7"/>
        <v>15400</v>
      </c>
      <c r="M53" s="48"/>
      <c r="N53" s="13"/>
      <c r="O53" s="13"/>
      <c r="P53" s="13"/>
      <c r="Q53" s="13"/>
      <c r="R53" s="13"/>
      <c r="S53" s="13"/>
      <c r="T53" s="13"/>
    </row>
    <row r="54" spans="1:20" x14ac:dyDescent="0.3">
      <c r="A54" s="194"/>
      <c r="B54" s="27" t="s">
        <v>49</v>
      </c>
      <c r="C54" s="44">
        <f>$C21*C51</f>
        <v>4800</v>
      </c>
      <c r="D54" s="44">
        <f t="shared" ref="D54:L54" si="8">$C21*D51</f>
        <v>6400</v>
      </c>
      <c r="E54" s="44">
        <f t="shared" si="8"/>
        <v>8000</v>
      </c>
      <c r="F54" s="44">
        <f t="shared" si="8"/>
        <v>8000</v>
      </c>
      <c r="G54" s="44">
        <f t="shared" si="8"/>
        <v>8000</v>
      </c>
      <c r="H54" s="44">
        <f t="shared" si="8"/>
        <v>8000</v>
      </c>
      <c r="I54" s="44">
        <f t="shared" si="8"/>
        <v>8000</v>
      </c>
      <c r="J54" s="44">
        <f t="shared" si="8"/>
        <v>8000</v>
      </c>
      <c r="K54" s="44">
        <f t="shared" si="8"/>
        <v>8000</v>
      </c>
      <c r="L54" s="44">
        <f t="shared" si="8"/>
        <v>8000</v>
      </c>
      <c r="M54" s="48"/>
      <c r="N54" s="13"/>
      <c r="O54" s="13"/>
      <c r="P54" s="13"/>
      <c r="Q54" s="13"/>
      <c r="R54" s="13"/>
      <c r="S54" s="13"/>
      <c r="T54" s="13"/>
    </row>
    <row r="55" spans="1:20" x14ac:dyDescent="0.3">
      <c r="A55" s="194"/>
      <c r="B55" s="58" t="s">
        <v>50</v>
      </c>
      <c r="C55" s="59">
        <f t="shared" ref="C55:L55" si="9">C51 -(C52 - C53 +C54)</f>
        <v>219800</v>
      </c>
      <c r="D55" s="59">
        <f t="shared" si="9"/>
        <v>291600</v>
      </c>
      <c r="E55" s="59">
        <f t="shared" si="9"/>
        <v>363400</v>
      </c>
      <c r="F55" s="59">
        <f t="shared" si="9"/>
        <v>363400</v>
      </c>
      <c r="G55" s="59">
        <f t="shared" si="9"/>
        <v>363400</v>
      </c>
      <c r="H55" s="59">
        <f t="shared" si="9"/>
        <v>363400</v>
      </c>
      <c r="I55" s="59">
        <f t="shared" si="9"/>
        <v>363400</v>
      </c>
      <c r="J55" s="59">
        <f t="shared" si="9"/>
        <v>363400</v>
      </c>
      <c r="K55" s="59">
        <f t="shared" si="9"/>
        <v>363400</v>
      </c>
      <c r="L55" s="59">
        <f t="shared" si="9"/>
        <v>363400</v>
      </c>
      <c r="M55" s="60"/>
      <c r="N55" s="61"/>
      <c r="O55" s="62"/>
      <c r="P55" s="62"/>
      <c r="Q55" s="62"/>
      <c r="R55" s="62"/>
      <c r="S55" s="13"/>
      <c r="T55" s="13"/>
    </row>
    <row r="56" spans="1:20" x14ac:dyDescent="0.3">
      <c r="A56" s="194"/>
      <c r="B56" s="58" t="s">
        <v>51</v>
      </c>
      <c r="C56" s="59">
        <v>100000</v>
      </c>
      <c r="D56" s="59">
        <v>120000</v>
      </c>
      <c r="E56" s="59">
        <v>140000</v>
      </c>
      <c r="F56" s="59">
        <v>140000</v>
      </c>
      <c r="G56" s="59">
        <v>140000</v>
      </c>
      <c r="H56" s="59">
        <v>140000</v>
      </c>
      <c r="I56" s="59">
        <v>140000</v>
      </c>
      <c r="J56" s="59">
        <v>140000</v>
      </c>
      <c r="K56" s="59">
        <v>140000</v>
      </c>
      <c r="L56" s="63">
        <v>140000</v>
      </c>
      <c r="M56" s="60"/>
      <c r="N56" s="13"/>
      <c r="O56" s="13"/>
      <c r="P56" s="13"/>
      <c r="Q56" s="13"/>
      <c r="R56" s="13"/>
      <c r="S56" s="13"/>
      <c r="T56" s="13"/>
    </row>
    <row r="57" spans="1:20" x14ac:dyDescent="0.3">
      <c r="A57" s="194"/>
      <c r="B57" s="27" t="s">
        <v>52</v>
      </c>
      <c r="C57" s="44">
        <f>C30</f>
        <v>60000</v>
      </c>
      <c r="D57" s="44">
        <f t="shared" ref="D57:L58" si="10">D30</f>
        <v>80000</v>
      </c>
      <c r="E57" s="44">
        <f t="shared" si="10"/>
        <v>100000</v>
      </c>
      <c r="F57" s="44">
        <f t="shared" si="10"/>
        <v>100000</v>
      </c>
      <c r="G57" s="44">
        <f t="shared" si="10"/>
        <v>100000</v>
      </c>
      <c r="H57" s="44">
        <f t="shared" si="10"/>
        <v>100000</v>
      </c>
      <c r="I57" s="44">
        <f t="shared" si="10"/>
        <v>100000</v>
      </c>
      <c r="J57" s="44">
        <f t="shared" si="10"/>
        <v>100000</v>
      </c>
      <c r="K57" s="44">
        <f t="shared" si="10"/>
        <v>100000</v>
      </c>
      <c r="L57" s="44">
        <f t="shared" si="10"/>
        <v>100000</v>
      </c>
      <c r="M57" s="48"/>
      <c r="N57" s="13"/>
      <c r="O57" s="13"/>
      <c r="P57" s="13"/>
      <c r="Q57" s="13"/>
      <c r="R57" s="13"/>
      <c r="S57" s="13"/>
      <c r="T57" s="13"/>
    </row>
    <row r="58" spans="1:20" x14ac:dyDescent="0.3">
      <c r="A58" s="194"/>
      <c r="B58" s="27" t="s">
        <v>53</v>
      </c>
      <c r="C58" s="44">
        <f>C31</f>
        <v>40000</v>
      </c>
      <c r="D58" s="44">
        <f t="shared" si="10"/>
        <v>40000</v>
      </c>
      <c r="E58" s="44">
        <f t="shared" si="10"/>
        <v>40000</v>
      </c>
      <c r="F58" s="44">
        <f t="shared" si="10"/>
        <v>40000</v>
      </c>
      <c r="G58" s="44">
        <f t="shared" si="10"/>
        <v>40000</v>
      </c>
      <c r="H58" s="44">
        <f t="shared" si="10"/>
        <v>40000</v>
      </c>
      <c r="I58" s="44">
        <f t="shared" si="10"/>
        <v>40000</v>
      </c>
      <c r="J58" s="44">
        <f t="shared" si="10"/>
        <v>40000</v>
      </c>
      <c r="K58" s="44">
        <f t="shared" si="10"/>
        <v>40000</v>
      </c>
      <c r="L58" s="44">
        <f t="shared" si="10"/>
        <v>40000</v>
      </c>
      <c r="M58" s="48"/>
      <c r="N58" s="13"/>
      <c r="O58" s="13"/>
      <c r="P58" s="13"/>
      <c r="Q58" s="13"/>
      <c r="R58" s="13"/>
      <c r="S58" s="13"/>
      <c r="T58" s="13"/>
    </row>
    <row r="59" spans="1:20" x14ac:dyDescent="0.3">
      <c r="A59" s="194"/>
      <c r="B59" s="58" t="s">
        <v>54</v>
      </c>
      <c r="C59" s="59">
        <f t="shared" ref="C59:L59" si="11">SUM(C60:C60)</f>
        <v>47600</v>
      </c>
      <c r="D59" s="59">
        <f t="shared" si="11"/>
        <v>47600</v>
      </c>
      <c r="E59" s="59">
        <f t="shared" si="11"/>
        <v>47600</v>
      </c>
      <c r="F59" s="59">
        <f t="shared" si="11"/>
        <v>47600</v>
      </c>
      <c r="G59" s="59">
        <f t="shared" si="11"/>
        <v>47600</v>
      </c>
      <c r="H59" s="59">
        <f t="shared" si="11"/>
        <v>47600</v>
      </c>
      <c r="I59" s="59">
        <f t="shared" si="11"/>
        <v>47600</v>
      </c>
      <c r="J59" s="59">
        <f t="shared" si="11"/>
        <v>47600</v>
      </c>
      <c r="K59" s="59">
        <f t="shared" si="11"/>
        <v>47600</v>
      </c>
      <c r="L59" s="59">
        <f t="shared" si="11"/>
        <v>47600</v>
      </c>
      <c r="M59" s="60"/>
      <c r="N59" s="13"/>
      <c r="O59" s="13"/>
      <c r="P59" s="13"/>
      <c r="Q59" s="13"/>
      <c r="R59" s="13"/>
      <c r="S59" s="13"/>
      <c r="T59" s="13"/>
    </row>
    <row r="60" spans="1:20" x14ac:dyDescent="0.3">
      <c r="A60" s="194"/>
      <c r="B60" s="27" t="s">
        <v>55</v>
      </c>
      <c r="C60" s="44">
        <f>$E41</f>
        <v>47600</v>
      </c>
      <c r="D60" s="44">
        <f t="shared" ref="D60:L60" si="12">$E41</f>
        <v>47600</v>
      </c>
      <c r="E60" s="44">
        <f t="shared" si="12"/>
        <v>47600</v>
      </c>
      <c r="F60" s="44">
        <f t="shared" si="12"/>
        <v>47600</v>
      </c>
      <c r="G60" s="44">
        <f t="shared" si="12"/>
        <v>47600</v>
      </c>
      <c r="H60" s="44">
        <f t="shared" si="12"/>
        <v>47600</v>
      </c>
      <c r="I60" s="44">
        <f t="shared" si="12"/>
        <v>47600</v>
      </c>
      <c r="J60" s="44">
        <f t="shared" si="12"/>
        <v>47600</v>
      </c>
      <c r="K60" s="44">
        <f t="shared" si="12"/>
        <v>47600</v>
      </c>
      <c r="L60" s="44">
        <f t="shared" si="12"/>
        <v>47600</v>
      </c>
      <c r="M60" s="48"/>
      <c r="N60" s="13"/>
      <c r="O60" s="13"/>
      <c r="P60" s="13"/>
      <c r="Q60" s="13"/>
      <c r="R60" s="13"/>
      <c r="S60" s="13"/>
      <c r="T60" s="13"/>
    </row>
    <row r="61" spans="1:20" x14ac:dyDescent="0.3">
      <c r="A61" s="194"/>
      <c r="B61" s="58" t="s">
        <v>56</v>
      </c>
      <c r="C61" s="64">
        <f>C55-(C56+C59)</f>
        <v>72200</v>
      </c>
      <c r="D61" s="64">
        <f t="shared" ref="D61:L61" si="13">D55-(D56+D59)</f>
        <v>124000</v>
      </c>
      <c r="E61" s="64">
        <f t="shared" si="13"/>
        <v>175800</v>
      </c>
      <c r="F61" s="64">
        <f t="shared" si="13"/>
        <v>175800</v>
      </c>
      <c r="G61" s="64">
        <f t="shared" si="13"/>
        <v>175800</v>
      </c>
      <c r="H61" s="64">
        <f t="shared" si="13"/>
        <v>175800</v>
      </c>
      <c r="I61" s="64">
        <f t="shared" si="13"/>
        <v>175800</v>
      </c>
      <c r="J61" s="64">
        <f t="shared" si="13"/>
        <v>175800</v>
      </c>
      <c r="K61" s="64">
        <f t="shared" si="13"/>
        <v>175800</v>
      </c>
      <c r="L61" s="64">
        <f t="shared" si="13"/>
        <v>175800</v>
      </c>
      <c r="M61" s="48"/>
      <c r="N61" s="13"/>
      <c r="O61" s="13"/>
      <c r="P61" s="13"/>
      <c r="Q61" s="13"/>
      <c r="R61" s="13"/>
      <c r="S61" s="13"/>
      <c r="T61" s="13"/>
    </row>
    <row r="62" spans="1:20" x14ac:dyDescent="0.3">
      <c r="A62" s="194"/>
      <c r="B62" s="27" t="s">
        <v>57</v>
      </c>
      <c r="C62" s="44">
        <f>$C22*C61</f>
        <v>15884</v>
      </c>
      <c r="D62" s="44">
        <f t="shared" ref="D62:L62" si="14">$C22*D61</f>
        <v>27280</v>
      </c>
      <c r="E62" s="44">
        <f t="shared" si="14"/>
        <v>38676</v>
      </c>
      <c r="F62" s="44">
        <f t="shared" si="14"/>
        <v>38676</v>
      </c>
      <c r="G62" s="44">
        <f t="shared" si="14"/>
        <v>38676</v>
      </c>
      <c r="H62" s="44">
        <f t="shared" si="14"/>
        <v>38676</v>
      </c>
      <c r="I62" s="44">
        <f t="shared" si="14"/>
        <v>38676</v>
      </c>
      <c r="J62" s="44">
        <f t="shared" si="14"/>
        <v>38676</v>
      </c>
      <c r="K62" s="44">
        <f t="shared" si="14"/>
        <v>38676</v>
      </c>
      <c r="L62" s="44">
        <f t="shared" si="14"/>
        <v>38676</v>
      </c>
      <c r="M62" s="60"/>
      <c r="N62" s="13"/>
      <c r="O62" s="13"/>
      <c r="P62" s="13"/>
      <c r="Q62" s="13"/>
      <c r="R62" s="13"/>
      <c r="S62" s="13"/>
      <c r="T62" s="13"/>
    </row>
    <row r="63" spans="1:20" ht="15.75" thickBot="1" x14ac:dyDescent="0.3">
      <c r="A63" s="13"/>
      <c r="B63" s="65" t="s">
        <v>58</v>
      </c>
      <c r="C63" s="66">
        <f t="shared" ref="C63:L63" si="15">C61-C62</f>
        <v>56316</v>
      </c>
      <c r="D63" s="66">
        <f t="shared" si="15"/>
        <v>96720</v>
      </c>
      <c r="E63" s="66">
        <f t="shared" si="15"/>
        <v>137124</v>
      </c>
      <c r="F63" s="66">
        <f t="shared" si="15"/>
        <v>137124</v>
      </c>
      <c r="G63" s="66">
        <f t="shared" si="15"/>
        <v>137124</v>
      </c>
      <c r="H63" s="66">
        <f t="shared" si="15"/>
        <v>137124</v>
      </c>
      <c r="I63" s="66">
        <f t="shared" si="15"/>
        <v>137124</v>
      </c>
      <c r="J63" s="66">
        <f t="shared" si="15"/>
        <v>137124</v>
      </c>
      <c r="K63" s="66">
        <f t="shared" si="15"/>
        <v>137124</v>
      </c>
      <c r="L63" s="66">
        <f t="shared" si="15"/>
        <v>137124</v>
      </c>
      <c r="M63" s="12"/>
      <c r="N63" s="13"/>
      <c r="O63" s="13"/>
      <c r="P63" s="13"/>
      <c r="Q63" s="13"/>
      <c r="R63" s="13"/>
      <c r="S63" s="13"/>
      <c r="T63" s="13"/>
    </row>
    <row r="64" spans="1:20" ht="15" x14ac:dyDescent="0.25">
      <c r="A64" s="13"/>
      <c r="B64" s="13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3"/>
      <c r="O64" s="13"/>
      <c r="P64" s="13"/>
      <c r="Q64" s="13"/>
      <c r="R64" s="13"/>
      <c r="S64" s="13"/>
      <c r="T64" s="13"/>
    </row>
    <row r="65" spans="1:20" ht="21.6" thickBot="1" x14ac:dyDescent="0.35">
      <c r="A65" s="67"/>
      <c r="B65" s="68" t="s">
        <v>59</v>
      </c>
      <c r="O65" s="13"/>
      <c r="P65" s="13"/>
      <c r="Q65" s="13"/>
      <c r="R65" s="13"/>
      <c r="S65" s="13"/>
      <c r="T65" s="13"/>
    </row>
    <row r="66" spans="1:20" x14ac:dyDescent="0.3">
      <c r="A66" s="195">
        <v>7</v>
      </c>
      <c r="B66" s="69" t="s">
        <v>20</v>
      </c>
      <c r="C66" s="148">
        <v>0</v>
      </c>
      <c r="D66" s="148">
        <v>1</v>
      </c>
      <c r="E66" s="148">
        <v>2</v>
      </c>
      <c r="F66" s="148">
        <v>3</v>
      </c>
      <c r="G66" s="148">
        <v>4</v>
      </c>
      <c r="H66" s="148">
        <v>5</v>
      </c>
      <c r="I66" s="148">
        <v>6</v>
      </c>
      <c r="J66" s="148">
        <v>7</v>
      </c>
      <c r="K66" s="148">
        <v>8</v>
      </c>
      <c r="L66" s="148">
        <v>9</v>
      </c>
      <c r="M66" s="149">
        <v>10</v>
      </c>
      <c r="N66" s="72"/>
      <c r="O66" s="13"/>
      <c r="P66" s="13"/>
      <c r="Q66" s="13"/>
      <c r="R66" s="13"/>
      <c r="S66" s="13"/>
      <c r="T66" s="13"/>
    </row>
    <row r="67" spans="1:20" ht="15.6" x14ac:dyDescent="0.3">
      <c r="A67" s="195"/>
      <c r="B67" s="73" t="s">
        <v>60</v>
      </c>
      <c r="C67" s="74">
        <f>-C11</f>
        <v>-470000</v>
      </c>
      <c r="D67" s="74">
        <f>F47</f>
        <v>30000</v>
      </c>
      <c r="E67" s="75"/>
      <c r="F67" s="75"/>
      <c r="G67" s="76"/>
      <c r="H67" s="75"/>
      <c r="I67" s="74"/>
      <c r="J67" s="75"/>
      <c r="K67" s="75"/>
      <c r="L67" s="75"/>
      <c r="M67" s="77"/>
      <c r="N67" s="78"/>
      <c r="O67" s="13"/>
      <c r="P67" s="13"/>
      <c r="Q67" s="13"/>
      <c r="R67" s="13"/>
      <c r="S67" s="13"/>
      <c r="T67" s="13"/>
    </row>
    <row r="68" spans="1:20" x14ac:dyDescent="0.3">
      <c r="A68" s="195"/>
      <c r="B68" s="73" t="s">
        <v>61</v>
      </c>
      <c r="C68" s="75"/>
      <c r="D68" s="74">
        <f>C55</f>
        <v>219800</v>
      </c>
      <c r="E68" s="74">
        <f t="shared" ref="E68:M69" si="16">D55</f>
        <v>291600</v>
      </c>
      <c r="F68" s="74">
        <f t="shared" si="16"/>
        <v>363400</v>
      </c>
      <c r="G68" s="74">
        <f t="shared" si="16"/>
        <v>363400</v>
      </c>
      <c r="H68" s="74">
        <f t="shared" si="16"/>
        <v>363400</v>
      </c>
      <c r="I68" s="74">
        <f t="shared" si="16"/>
        <v>363400</v>
      </c>
      <c r="J68" s="74">
        <f t="shared" si="16"/>
        <v>363400</v>
      </c>
      <c r="K68" s="74">
        <f t="shared" si="16"/>
        <v>363400</v>
      </c>
      <c r="L68" s="74">
        <f t="shared" si="16"/>
        <v>363400</v>
      </c>
      <c r="M68" s="79">
        <f t="shared" si="16"/>
        <v>363400</v>
      </c>
      <c r="N68" s="80"/>
      <c r="O68" s="13"/>
      <c r="P68" s="13"/>
      <c r="Q68" s="13"/>
      <c r="R68" s="13"/>
      <c r="S68" s="13"/>
      <c r="T68" s="13"/>
    </row>
    <row r="69" spans="1:20" x14ac:dyDescent="0.3">
      <c r="A69" s="195"/>
      <c r="B69" s="73" t="s">
        <v>62</v>
      </c>
      <c r="C69" s="75"/>
      <c r="D69" s="74">
        <f>C56</f>
        <v>100000</v>
      </c>
      <c r="E69" s="74">
        <f t="shared" si="16"/>
        <v>120000</v>
      </c>
      <c r="F69" s="74">
        <f t="shared" si="16"/>
        <v>140000</v>
      </c>
      <c r="G69" s="74">
        <f t="shared" si="16"/>
        <v>140000</v>
      </c>
      <c r="H69" s="74">
        <f t="shared" si="16"/>
        <v>140000</v>
      </c>
      <c r="I69" s="74">
        <f t="shared" si="16"/>
        <v>140000</v>
      </c>
      <c r="J69" s="74">
        <f t="shared" si="16"/>
        <v>140000</v>
      </c>
      <c r="K69" s="74">
        <f t="shared" si="16"/>
        <v>140000</v>
      </c>
      <c r="L69" s="74">
        <f t="shared" si="16"/>
        <v>140000</v>
      </c>
      <c r="M69" s="79">
        <f t="shared" si="16"/>
        <v>140000</v>
      </c>
      <c r="N69" s="80"/>
      <c r="O69" s="13"/>
      <c r="P69" s="13"/>
      <c r="Q69" s="13"/>
      <c r="R69" s="13"/>
      <c r="S69" s="13"/>
      <c r="T69" s="13"/>
    </row>
    <row r="70" spans="1:20" x14ac:dyDescent="0.3">
      <c r="A70" s="195"/>
      <c r="B70" s="73" t="s">
        <v>63</v>
      </c>
      <c r="C70" s="75"/>
      <c r="D70" s="74">
        <f>+C62</f>
        <v>15884</v>
      </c>
      <c r="E70" s="74">
        <f t="shared" ref="E70:M70" si="17">+D62</f>
        <v>27280</v>
      </c>
      <c r="F70" s="74">
        <f t="shared" si="17"/>
        <v>38676</v>
      </c>
      <c r="G70" s="74">
        <f t="shared" si="17"/>
        <v>38676</v>
      </c>
      <c r="H70" s="74">
        <f t="shared" si="17"/>
        <v>38676</v>
      </c>
      <c r="I70" s="74">
        <f t="shared" si="17"/>
        <v>38676</v>
      </c>
      <c r="J70" s="74">
        <f t="shared" si="17"/>
        <v>38676</v>
      </c>
      <c r="K70" s="74">
        <f t="shared" si="17"/>
        <v>38676</v>
      </c>
      <c r="L70" s="74">
        <f t="shared" si="17"/>
        <v>38676</v>
      </c>
      <c r="M70" s="74">
        <f t="shared" si="17"/>
        <v>38676</v>
      </c>
      <c r="N70" s="80"/>
      <c r="O70" s="13"/>
      <c r="P70" s="13"/>
      <c r="Q70" s="13"/>
      <c r="R70" s="13"/>
      <c r="S70" s="13"/>
      <c r="T70" s="13"/>
    </row>
    <row r="71" spans="1:20" ht="15.6" x14ac:dyDescent="0.3">
      <c r="A71" s="195"/>
      <c r="B71" s="73" t="s">
        <v>64</v>
      </c>
      <c r="C71" s="75"/>
      <c r="D71" s="75"/>
      <c r="E71" s="75"/>
      <c r="F71" s="75"/>
      <c r="G71" s="76"/>
      <c r="H71" s="74"/>
      <c r="I71" s="75"/>
      <c r="J71" s="75"/>
      <c r="K71" s="75"/>
      <c r="L71" s="75"/>
      <c r="M71" s="79">
        <f>+G37</f>
        <v>84000</v>
      </c>
      <c r="N71" s="81"/>
      <c r="O71" s="13"/>
      <c r="P71" s="13"/>
      <c r="Q71" s="13"/>
      <c r="R71" s="13"/>
      <c r="S71" s="13"/>
      <c r="T71" s="13"/>
    </row>
    <row r="72" spans="1:20" ht="15" thickBot="1" x14ac:dyDescent="0.35">
      <c r="A72" s="195"/>
      <c r="B72" s="82" t="s">
        <v>65</v>
      </c>
      <c r="C72" s="83">
        <f>SUM(C67:C71)</f>
        <v>-470000</v>
      </c>
      <c r="D72" s="83">
        <f t="shared" ref="D72:L72" si="18">D68-D69-D70-D67</f>
        <v>73916</v>
      </c>
      <c r="E72" s="83">
        <f t="shared" si="18"/>
        <v>144320</v>
      </c>
      <c r="F72" s="83">
        <f t="shared" si="18"/>
        <v>184724</v>
      </c>
      <c r="G72" s="83">
        <f t="shared" si="18"/>
        <v>184724</v>
      </c>
      <c r="H72" s="83">
        <f t="shared" si="18"/>
        <v>184724</v>
      </c>
      <c r="I72" s="83">
        <f t="shared" si="18"/>
        <v>184724</v>
      </c>
      <c r="J72" s="83">
        <f t="shared" si="18"/>
        <v>184724</v>
      </c>
      <c r="K72" s="83">
        <f t="shared" si="18"/>
        <v>184724</v>
      </c>
      <c r="L72" s="83">
        <f t="shared" si="18"/>
        <v>184724</v>
      </c>
      <c r="M72" s="83">
        <f>M68-M69-M70-M67+M71</f>
        <v>268724</v>
      </c>
      <c r="N72" s="84"/>
      <c r="O72" s="196"/>
      <c r="P72" s="197"/>
      <c r="Q72" s="197"/>
      <c r="R72" s="197"/>
      <c r="S72" s="13"/>
      <c r="T72" s="13"/>
    </row>
    <row r="73" spans="1:20" ht="34.5" thickBot="1" x14ac:dyDescent="0.3">
      <c r="A73" s="85"/>
      <c r="B73" s="86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87"/>
      <c r="P73" s="88"/>
      <c r="Q73" s="88"/>
      <c r="R73" s="88"/>
      <c r="S73" s="13"/>
      <c r="T73" s="13"/>
    </row>
    <row r="74" spans="1:20" ht="21" thickBot="1" x14ac:dyDescent="0.35">
      <c r="A74" s="1"/>
      <c r="B74" s="93" t="s">
        <v>92</v>
      </c>
      <c r="C74" s="12"/>
      <c r="D74" s="12"/>
      <c r="E74" s="12"/>
      <c r="F74" s="12"/>
      <c r="G74" s="49"/>
      <c r="H74" s="120"/>
      <c r="I74" s="49"/>
      <c r="J74" s="12"/>
      <c r="K74" s="12"/>
      <c r="L74" s="12"/>
      <c r="M74" s="12"/>
      <c r="N74" s="13"/>
      <c r="O74" s="13"/>
      <c r="P74" s="13"/>
      <c r="Q74" s="13"/>
      <c r="R74" s="13"/>
      <c r="S74" s="13"/>
      <c r="T74" s="13"/>
    </row>
    <row r="75" spans="1:20" ht="15" x14ac:dyDescent="0.25">
      <c r="A75" s="13"/>
      <c r="B75" s="159" t="s">
        <v>66</v>
      </c>
      <c r="C75" s="155">
        <f>NPV(C76, D72:M72)+C72</f>
        <v>253292.40351851133</v>
      </c>
      <c r="D75" s="12"/>
      <c r="E75" s="12"/>
      <c r="F75" s="12"/>
      <c r="G75" s="49"/>
      <c r="H75" s="49"/>
      <c r="I75" s="49"/>
      <c r="J75" s="12"/>
      <c r="K75" s="12"/>
      <c r="L75" s="12"/>
      <c r="M75" s="12"/>
      <c r="N75" s="13"/>
      <c r="O75" s="13"/>
      <c r="P75" s="13"/>
      <c r="Q75" s="13"/>
      <c r="R75" s="13"/>
      <c r="S75" s="13"/>
      <c r="T75" s="13"/>
    </row>
    <row r="76" spans="1:20" ht="15" x14ac:dyDescent="0.25">
      <c r="A76" s="13"/>
      <c r="B76" s="153" t="s">
        <v>88</v>
      </c>
      <c r="C76" s="156">
        <v>0.18</v>
      </c>
      <c r="D76" s="12"/>
      <c r="E76" s="12"/>
      <c r="F76" s="12"/>
      <c r="G76" s="49"/>
      <c r="H76" s="49"/>
      <c r="I76" s="49"/>
      <c r="J76" s="12"/>
      <c r="K76" s="12"/>
      <c r="L76" s="12"/>
      <c r="M76" s="12"/>
      <c r="N76" s="13"/>
      <c r="O76" s="13"/>
      <c r="P76" s="13"/>
      <c r="Q76" s="13"/>
      <c r="R76" s="13"/>
      <c r="S76" s="13"/>
      <c r="T76" s="13"/>
    </row>
    <row r="77" spans="1:20" ht="15" x14ac:dyDescent="0.25">
      <c r="A77" s="13"/>
      <c r="B77" s="153" t="s">
        <v>67</v>
      </c>
      <c r="C77" s="157">
        <f>IRR(C72:N72, 17%)</f>
        <v>0.2986950980675791</v>
      </c>
      <c r="D77" s="12"/>
      <c r="E77" s="89"/>
      <c r="F77" s="90"/>
      <c r="G77" s="49"/>
      <c r="H77" s="49"/>
      <c r="I77" s="49"/>
      <c r="J77" s="12"/>
      <c r="K77" s="12"/>
      <c r="L77" s="12"/>
      <c r="M77" s="12"/>
      <c r="N77" s="13"/>
      <c r="O77" s="13"/>
      <c r="P77" s="13"/>
      <c r="Q77" s="13"/>
      <c r="R77" s="13"/>
      <c r="S77" s="13"/>
      <c r="T77" s="13"/>
    </row>
    <row r="78" spans="1:20" x14ac:dyDescent="0.3">
      <c r="A78" s="13"/>
      <c r="B78" s="160" t="s">
        <v>60</v>
      </c>
      <c r="C78" s="158">
        <f>+-C67</f>
        <v>470000</v>
      </c>
      <c r="D78" s="12"/>
      <c r="E78" s="12"/>
      <c r="F78" s="12"/>
      <c r="G78" s="49"/>
      <c r="H78" s="49"/>
      <c r="I78" s="49"/>
      <c r="J78" s="12"/>
      <c r="K78" s="12"/>
      <c r="L78" s="12"/>
      <c r="M78" s="12"/>
      <c r="N78" s="13"/>
      <c r="O78" s="13"/>
      <c r="P78" s="13"/>
      <c r="Q78" s="13"/>
      <c r="R78" s="13"/>
      <c r="S78" s="13"/>
      <c r="T78" s="13"/>
    </row>
    <row r="79" spans="1:20" ht="15" x14ac:dyDescent="0.25">
      <c r="A79" s="13"/>
      <c r="B79" s="153"/>
      <c r="C79" s="151"/>
      <c r="D79" s="91"/>
      <c r="E79" s="91"/>
      <c r="F79" s="91"/>
      <c r="G79" s="91"/>
      <c r="H79" s="49"/>
      <c r="I79" s="49"/>
      <c r="J79" s="12"/>
      <c r="K79" s="12"/>
      <c r="L79" s="12"/>
      <c r="M79" s="12"/>
      <c r="N79" s="13"/>
      <c r="O79" s="13"/>
      <c r="P79" s="13"/>
      <c r="Q79" s="13"/>
      <c r="R79" s="13"/>
      <c r="S79" s="13"/>
      <c r="T79" s="13"/>
    </row>
    <row r="80" spans="1:20" ht="15" x14ac:dyDescent="0.25">
      <c r="A80" s="13"/>
      <c r="B80" s="153" t="s">
        <v>102</v>
      </c>
      <c r="C80" s="151">
        <f>+C75/C78</f>
        <v>0.53892000748619429</v>
      </c>
      <c r="D80" s="92"/>
      <c r="E80" s="92"/>
      <c r="F80" s="92"/>
      <c r="G80" s="92"/>
      <c r="H80" s="49"/>
      <c r="I80" s="121"/>
      <c r="J80" s="12"/>
      <c r="K80" s="12"/>
      <c r="L80" s="12"/>
      <c r="M80" s="12"/>
      <c r="N80" s="13"/>
      <c r="O80" s="13"/>
      <c r="P80" s="13"/>
      <c r="Q80" s="13"/>
      <c r="R80" s="13"/>
      <c r="S80" s="13"/>
      <c r="T80" s="13"/>
    </row>
    <row r="81" spans="1:20" ht="15" x14ac:dyDescent="0.25">
      <c r="A81" s="13"/>
      <c r="B81" s="153" t="s">
        <v>89</v>
      </c>
      <c r="C81" s="151">
        <f>NPV(C76,D72:M72)</f>
        <v>723292.40351851133</v>
      </c>
      <c r="D81" s="92"/>
      <c r="E81" s="92"/>
      <c r="F81" s="92"/>
      <c r="G81" s="92"/>
      <c r="H81" s="49"/>
      <c r="I81" s="121"/>
      <c r="J81" s="12"/>
      <c r="K81" s="12"/>
      <c r="L81" s="12"/>
      <c r="M81" s="12"/>
      <c r="N81" s="13"/>
      <c r="O81" s="13"/>
      <c r="P81" s="13"/>
      <c r="Q81" s="13"/>
      <c r="R81" s="13"/>
      <c r="S81" s="13"/>
      <c r="T81" s="13"/>
    </row>
    <row r="82" spans="1:20" ht="15" x14ac:dyDescent="0.25">
      <c r="A82" s="13"/>
      <c r="B82" s="153" t="s">
        <v>90</v>
      </c>
      <c r="C82" s="151">
        <f>-+C72</f>
        <v>470000</v>
      </c>
      <c r="D82" s="92"/>
      <c r="E82" s="92"/>
      <c r="F82" s="92"/>
      <c r="G82" s="92"/>
      <c r="H82" s="49"/>
      <c r="I82" s="121"/>
      <c r="J82" s="12"/>
      <c r="K82" s="12"/>
      <c r="L82" s="12"/>
      <c r="M82" s="12"/>
      <c r="N82" s="13"/>
      <c r="O82" s="13"/>
      <c r="P82" s="13"/>
      <c r="Q82" s="13"/>
      <c r="R82" s="13"/>
      <c r="S82" s="13"/>
      <c r="T82" s="13"/>
    </row>
    <row r="83" spans="1:20" ht="15.75" thickBot="1" x14ac:dyDescent="0.3">
      <c r="A83" s="13"/>
      <c r="B83" s="154" t="s">
        <v>91</v>
      </c>
      <c r="C83" s="152">
        <f>+C81/C82</f>
        <v>1.5389200074861944</v>
      </c>
      <c r="D83" s="92"/>
      <c r="E83" s="92"/>
      <c r="F83" s="92"/>
      <c r="G83" s="92"/>
      <c r="H83" s="49"/>
      <c r="I83" s="121"/>
      <c r="J83" s="12"/>
      <c r="K83" s="12"/>
      <c r="L83" s="12"/>
      <c r="M83" s="12"/>
      <c r="N83" s="13"/>
      <c r="O83" s="13"/>
      <c r="P83" s="13"/>
      <c r="Q83" s="13"/>
      <c r="R83" s="13"/>
      <c r="S83" s="13"/>
      <c r="T83" s="13"/>
    </row>
    <row r="84" spans="1:20" ht="15" x14ac:dyDescent="0.25">
      <c r="A84" s="13"/>
      <c r="B84" s="150"/>
      <c r="C84" s="121"/>
      <c r="D84" s="92"/>
      <c r="E84" s="92"/>
      <c r="F84" s="92"/>
      <c r="G84" s="92"/>
      <c r="H84" s="49"/>
      <c r="I84" s="121"/>
      <c r="J84" s="12"/>
      <c r="K84" s="12"/>
      <c r="L84" s="12"/>
      <c r="M84" s="12"/>
      <c r="N84" s="13"/>
      <c r="O84" s="13"/>
      <c r="P84" s="13"/>
      <c r="Q84" s="13"/>
      <c r="R84" s="13"/>
      <c r="S84" s="13"/>
      <c r="T84" s="13"/>
    </row>
    <row r="85" spans="1:20" ht="15" x14ac:dyDescent="0.25">
      <c r="A85" s="13"/>
      <c r="B85" s="13"/>
      <c r="C85" s="12"/>
      <c r="D85" s="12"/>
      <c r="E85" s="12"/>
      <c r="F85" s="12"/>
      <c r="G85" s="49"/>
      <c r="H85" s="49"/>
      <c r="I85" s="49"/>
      <c r="J85" s="12"/>
      <c r="K85" s="12"/>
      <c r="L85" s="12"/>
      <c r="M85" s="12"/>
      <c r="N85" s="13"/>
      <c r="O85" s="13"/>
      <c r="P85" s="13"/>
      <c r="Q85" s="13"/>
      <c r="R85" s="13"/>
      <c r="S85" s="13"/>
      <c r="T85" s="13"/>
    </row>
    <row r="86" spans="1:20" ht="23.25" x14ac:dyDescent="0.35">
      <c r="A86" s="13"/>
      <c r="B86" s="178" t="s">
        <v>68</v>
      </c>
      <c r="C86" s="12"/>
      <c r="D86" s="12"/>
      <c r="E86" s="12"/>
      <c r="F86" s="12"/>
      <c r="G86" s="49"/>
      <c r="H86" s="49"/>
      <c r="I86" s="49"/>
      <c r="J86" s="12"/>
      <c r="K86" s="12"/>
      <c r="L86" s="12"/>
      <c r="M86" s="12"/>
      <c r="N86" s="13"/>
      <c r="O86" s="13"/>
      <c r="P86" s="13"/>
      <c r="Q86" s="13"/>
      <c r="R86" s="13"/>
      <c r="S86" s="13"/>
      <c r="T86" s="13"/>
    </row>
    <row r="87" spans="1:20" ht="15" x14ac:dyDescent="0.25">
      <c r="A87" s="13"/>
      <c r="B87" s="13"/>
      <c r="C87" s="12"/>
      <c r="D87" s="12"/>
      <c r="E87" s="12"/>
      <c r="F87" s="12"/>
      <c r="G87" s="49"/>
      <c r="H87" s="122"/>
      <c r="I87" s="49"/>
      <c r="J87" s="12"/>
      <c r="K87" s="12"/>
      <c r="L87" s="12"/>
      <c r="M87" s="12"/>
      <c r="N87" s="13"/>
      <c r="O87" s="13"/>
      <c r="P87" s="13"/>
      <c r="Q87" s="13"/>
      <c r="R87" s="13"/>
      <c r="S87" s="13"/>
      <c r="T87" s="13"/>
    </row>
    <row r="88" spans="1:20" ht="18" thickBot="1" x14ac:dyDescent="0.35">
      <c r="A88" s="13"/>
      <c r="B88" s="3" t="s">
        <v>69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3"/>
      <c r="O88" s="13"/>
      <c r="P88" s="13"/>
      <c r="Q88" s="13"/>
      <c r="R88" s="13"/>
      <c r="S88" s="13"/>
      <c r="T88" s="13"/>
    </row>
    <row r="89" spans="1:20" ht="15" x14ac:dyDescent="0.3">
      <c r="A89" s="13"/>
      <c r="B89" s="94" t="s">
        <v>70</v>
      </c>
      <c r="C89" s="95">
        <f>C11</f>
        <v>470000</v>
      </c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3"/>
      <c r="O89" s="13"/>
      <c r="P89" s="13"/>
      <c r="Q89" s="13"/>
      <c r="R89" s="13"/>
      <c r="S89" s="13"/>
      <c r="T89" s="13"/>
    </row>
    <row r="90" spans="1:20" ht="15" x14ac:dyDescent="0.3">
      <c r="A90" s="13"/>
      <c r="B90" s="96" t="s">
        <v>71</v>
      </c>
      <c r="C90" s="97">
        <v>330000</v>
      </c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3"/>
      <c r="O90" s="13"/>
      <c r="P90" s="13"/>
      <c r="Q90" s="13"/>
      <c r="R90" s="13"/>
      <c r="S90" s="13"/>
      <c r="T90" s="13"/>
    </row>
    <row r="91" spans="1:20" ht="15" x14ac:dyDescent="0.3">
      <c r="A91" s="13"/>
      <c r="B91" s="96" t="s">
        <v>72</v>
      </c>
      <c r="C91" s="98">
        <v>0.11</v>
      </c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3"/>
      <c r="O91" s="13"/>
      <c r="P91" s="13"/>
      <c r="Q91" s="13"/>
      <c r="R91" s="13"/>
      <c r="S91" s="13"/>
      <c r="T91" s="13"/>
    </row>
    <row r="92" spans="1:20" ht="15" x14ac:dyDescent="0.3">
      <c r="A92" s="13"/>
      <c r="B92" s="96" t="s">
        <v>73</v>
      </c>
      <c r="C92" s="99">
        <v>10</v>
      </c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3"/>
      <c r="O92" s="13"/>
      <c r="P92" s="13"/>
      <c r="Q92" s="13"/>
      <c r="R92" s="13"/>
      <c r="S92" s="13"/>
      <c r="T92" s="13"/>
    </row>
    <row r="93" spans="1:20" ht="15.75" thickBot="1" x14ac:dyDescent="0.3">
      <c r="A93" s="13"/>
      <c r="B93" s="100" t="s">
        <v>74</v>
      </c>
      <c r="C93" s="101">
        <f>PMT(C91,C92,C90)</f>
        <v>-56034.470942171807</v>
      </c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3"/>
      <c r="O93" s="13"/>
      <c r="P93" s="13"/>
      <c r="Q93" s="13"/>
      <c r="R93" s="13"/>
      <c r="S93" s="13"/>
      <c r="T93" s="13"/>
    </row>
    <row r="94" spans="1:20" ht="15" x14ac:dyDescent="0.25">
      <c r="A94" s="13"/>
      <c r="B94" s="13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3"/>
      <c r="O94" s="13"/>
      <c r="P94" s="13"/>
      <c r="Q94" s="13"/>
      <c r="R94" s="13"/>
      <c r="S94" s="13"/>
      <c r="T94" s="13"/>
    </row>
    <row r="95" spans="1:20" ht="18.75" thickBot="1" x14ac:dyDescent="0.3">
      <c r="A95" s="13"/>
      <c r="B95" s="3" t="s">
        <v>75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3"/>
      <c r="O95" s="13"/>
      <c r="P95" s="13"/>
      <c r="Q95" s="13"/>
      <c r="R95" s="13"/>
      <c r="S95" s="13"/>
      <c r="T95" s="13"/>
    </row>
    <row r="96" spans="1:20" ht="31.2" x14ac:dyDescent="0.3">
      <c r="A96" s="13"/>
      <c r="B96" s="102" t="s">
        <v>20</v>
      </c>
      <c r="C96" s="103" t="s">
        <v>76</v>
      </c>
      <c r="D96" s="137" t="s">
        <v>77</v>
      </c>
      <c r="E96" s="137" t="s">
        <v>78</v>
      </c>
      <c r="F96" s="104" t="s">
        <v>79</v>
      </c>
      <c r="G96" s="12"/>
      <c r="H96" s="12"/>
      <c r="I96" s="12"/>
      <c r="J96" s="12"/>
      <c r="K96" s="12"/>
      <c r="L96" s="105"/>
      <c r="M96" s="12"/>
      <c r="N96" s="13"/>
      <c r="O96" s="13"/>
      <c r="P96" s="13"/>
      <c r="Q96" s="13"/>
      <c r="R96" s="13"/>
      <c r="S96" s="13"/>
      <c r="T96" s="13"/>
    </row>
    <row r="97" spans="1:20" ht="15.75" x14ac:dyDescent="0.25">
      <c r="A97" s="13"/>
      <c r="B97" s="106">
        <v>1</v>
      </c>
      <c r="C97" s="107">
        <v>330000</v>
      </c>
      <c r="D97" s="108">
        <f>-$C93</f>
        <v>56034.470942171807</v>
      </c>
      <c r="E97" s="109">
        <f>$C91*C97</f>
        <v>36300</v>
      </c>
      <c r="F97" s="110">
        <f>D97-E97</f>
        <v>19734.470942171807</v>
      </c>
      <c r="G97" s="12"/>
      <c r="H97" s="12"/>
      <c r="I97" s="12"/>
      <c r="J97" s="12"/>
      <c r="K97" s="12"/>
      <c r="L97" s="12"/>
      <c r="M97" s="12"/>
      <c r="N97" s="13"/>
      <c r="O97" s="13"/>
      <c r="P97" s="13"/>
      <c r="Q97" s="13"/>
      <c r="R97" s="13"/>
      <c r="S97" s="13"/>
      <c r="T97" s="13"/>
    </row>
    <row r="98" spans="1:20" ht="15.75" x14ac:dyDescent="0.25">
      <c r="A98" s="13"/>
      <c r="B98" s="106">
        <v>2</v>
      </c>
      <c r="C98" s="108">
        <f t="shared" ref="C98:C106" si="19">C97-F97</f>
        <v>310265.52905782819</v>
      </c>
      <c r="D98" s="108">
        <f>$D97</f>
        <v>56034.470942171807</v>
      </c>
      <c r="E98" s="109">
        <f>$C91*C98</f>
        <v>34129.208196361098</v>
      </c>
      <c r="F98" s="110">
        <f t="shared" ref="F98:F106" si="20">D98-E98</f>
        <v>21905.262745810709</v>
      </c>
      <c r="G98" s="12"/>
      <c r="H98" s="12"/>
      <c r="I98" s="12"/>
      <c r="J98" s="12"/>
      <c r="K98" s="12"/>
      <c r="L98" s="111"/>
      <c r="M98" s="12"/>
      <c r="N98" s="13"/>
      <c r="O98" s="13"/>
      <c r="P98" s="13"/>
      <c r="Q98" s="13"/>
      <c r="R98" s="13"/>
      <c r="S98" s="13"/>
      <c r="T98" s="13"/>
    </row>
    <row r="99" spans="1:20" ht="15.75" x14ac:dyDescent="0.25">
      <c r="A99" s="13"/>
      <c r="B99" s="106">
        <v>3</v>
      </c>
      <c r="C99" s="108">
        <f t="shared" si="19"/>
        <v>288360.26631201745</v>
      </c>
      <c r="D99" s="108">
        <f t="shared" ref="D99:D106" si="21">$D98</f>
        <v>56034.470942171807</v>
      </c>
      <c r="E99" s="109">
        <f>C91*C99</f>
        <v>31719.62929432192</v>
      </c>
      <c r="F99" s="110">
        <f t="shared" si="20"/>
        <v>24314.841647849888</v>
      </c>
      <c r="G99" s="12"/>
      <c r="H99" s="12"/>
      <c r="I99" s="12"/>
      <c r="J99" s="12"/>
      <c r="K99" s="12"/>
      <c r="L99" s="12"/>
      <c r="M99" s="12"/>
      <c r="N99" s="13"/>
      <c r="O99" s="13"/>
      <c r="P99" s="13"/>
      <c r="Q99" s="13"/>
      <c r="R99" s="13"/>
      <c r="S99" s="13"/>
      <c r="T99" s="13"/>
    </row>
    <row r="100" spans="1:20" ht="15.75" x14ac:dyDescent="0.25">
      <c r="A100" s="13"/>
      <c r="B100" s="106">
        <v>4</v>
      </c>
      <c r="C100" s="108">
        <f t="shared" si="19"/>
        <v>264045.42466416757</v>
      </c>
      <c r="D100" s="108">
        <f t="shared" si="21"/>
        <v>56034.470942171807</v>
      </c>
      <c r="E100" s="109">
        <f>C91*C100</f>
        <v>29044.996713058434</v>
      </c>
      <c r="F100" s="110">
        <f t="shared" si="20"/>
        <v>26989.474229113373</v>
      </c>
      <c r="G100" s="12"/>
      <c r="H100" s="12"/>
      <c r="I100" s="12"/>
      <c r="J100" s="12"/>
      <c r="K100" s="12"/>
      <c r="L100" s="12"/>
      <c r="M100" s="12"/>
      <c r="N100" s="13"/>
      <c r="O100" s="13"/>
      <c r="P100" s="13"/>
      <c r="Q100" s="13"/>
      <c r="R100" s="13"/>
      <c r="S100" s="13"/>
      <c r="T100" s="13"/>
    </row>
    <row r="101" spans="1:20" ht="15.75" x14ac:dyDescent="0.25">
      <c r="A101" s="13"/>
      <c r="B101" s="106">
        <v>5</v>
      </c>
      <c r="C101" s="108">
        <f t="shared" si="19"/>
        <v>237055.9504350542</v>
      </c>
      <c r="D101" s="108">
        <f t="shared" si="21"/>
        <v>56034.470942171807</v>
      </c>
      <c r="E101" s="109">
        <f>C91*C101</f>
        <v>26076.15454785596</v>
      </c>
      <c r="F101" s="110">
        <f t="shared" si="20"/>
        <v>29958.316394315847</v>
      </c>
      <c r="G101" s="12"/>
      <c r="H101" s="12"/>
      <c r="I101" s="12"/>
      <c r="J101" s="12"/>
      <c r="K101" s="12"/>
      <c r="L101" s="112"/>
      <c r="M101" s="12"/>
      <c r="N101" s="13"/>
      <c r="O101" s="13"/>
      <c r="P101" s="13"/>
      <c r="Q101" s="13"/>
      <c r="R101" s="13"/>
      <c r="S101" s="13"/>
      <c r="T101" s="13"/>
    </row>
    <row r="102" spans="1:20" ht="15.75" x14ac:dyDescent="0.25">
      <c r="A102" s="13"/>
      <c r="B102" s="106">
        <v>6</v>
      </c>
      <c r="C102" s="108">
        <f t="shared" si="19"/>
        <v>207097.63404073834</v>
      </c>
      <c r="D102" s="108">
        <f t="shared" si="21"/>
        <v>56034.470942171807</v>
      </c>
      <c r="E102" s="109">
        <f>C91*C102</f>
        <v>22780.739744481216</v>
      </c>
      <c r="F102" s="110">
        <f t="shared" si="20"/>
        <v>33253.731197690591</v>
      </c>
      <c r="G102" s="12"/>
      <c r="H102" s="12"/>
      <c r="I102" s="12"/>
      <c r="J102" s="12"/>
      <c r="K102" s="12"/>
      <c r="L102" s="113"/>
      <c r="M102" s="12"/>
      <c r="N102" s="13"/>
      <c r="O102" s="13"/>
      <c r="P102" s="13"/>
      <c r="Q102" s="13"/>
      <c r="R102" s="13"/>
      <c r="S102" s="13"/>
      <c r="T102" s="13"/>
    </row>
    <row r="103" spans="1:20" ht="15.75" x14ac:dyDescent="0.25">
      <c r="B103" s="106">
        <v>7</v>
      </c>
      <c r="C103" s="108">
        <f t="shared" si="19"/>
        <v>173843.90284304775</v>
      </c>
      <c r="D103" s="108">
        <f t="shared" si="21"/>
        <v>56034.470942171807</v>
      </c>
      <c r="E103" s="109">
        <f>C91*C103</f>
        <v>19122.829312735252</v>
      </c>
      <c r="F103" s="110">
        <f t="shared" si="20"/>
        <v>36911.641629436555</v>
      </c>
    </row>
    <row r="104" spans="1:20" ht="15.75" x14ac:dyDescent="0.25">
      <c r="B104" s="106">
        <v>8</v>
      </c>
      <c r="C104" s="108">
        <f t="shared" si="19"/>
        <v>136932.2612136112</v>
      </c>
      <c r="D104" s="108">
        <f t="shared" si="21"/>
        <v>56034.470942171807</v>
      </c>
      <c r="E104" s="109">
        <f>C91*C104</f>
        <v>15062.548733497231</v>
      </c>
      <c r="F104" s="110">
        <f t="shared" si="20"/>
        <v>40971.922208674572</v>
      </c>
    </row>
    <row r="105" spans="1:20" ht="15.75" x14ac:dyDescent="0.25">
      <c r="B105" s="106">
        <v>9</v>
      </c>
      <c r="C105" s="108">
        <f t="shared" si="19"/>
        <v>95960.339004936628</v>
      </c>
      <c r="D105" s="108">
        <f t="shared" si="21"/>
        <v>56034.470942171807</v>
      </c>
      <c r="E105" s="109">
        <f>C91*C105</f>
        <v>10555.637290543029</v>
      </c>
      <c r="F105" s="110">
        <f t="shared" si="20"/>
        <v>45478.833651628782</v>
      </c>
    </row>
    <row r="106" spans="1:20" ht="15.75" x14ac:dyDescent="0.25">
      <c r="B106" s="106">
        <v>10</v>
      </c>
      <c r="C106" s="108">
        <f t="shared" si="19"/>
        <v>50481.505353307846</v>
      </c>
      <c r="D106" s="108">
        <f t="shared" si="21"/>
        <v>56034.470942171807</v>
      </c>
      <c r="E106" s="109">
        <f>C91*C106</f>
        <v>5552.9655888638636</v>
      </c>
      <c r="F106" s="110">
        <f t="shared" si="20"/>
        <v>50481.505353307941</v>
      </c>
    </row>
    <row r="107" spans="1:20" ht="15" x14ac:dyDescent="0.25">
      <c r="B107" s="114"/>
    </row>
    <row r="110" spans="1:20" ht="21.75" thickBot="1" x14ac:dyDescent="0.4">
      <c r="B110" s="115" t="s">
        <v>80</v>
      </c>
    </row>
    <row r="111" spans="1:20" ht="15" x14ac:dyDescent="0.25">
      <c r="B111" s="55" t="s">
        <v>45</v>
      </c>
      <c r="C111" s="56">
        <v>1</v>
      </c>
      <c r="D111" s="56">
        <v>2</v>
      </c>
      <c r="E111" s="56">
        <v>3</v>
      </c>
      <c r="F111" s="56">
        <v>4</v>
      </c>
      <c r="G111" s="56">
        <v>5</v>
      </c>
      <c r="H111" s="56">
        <v>6</v>
      </c>
      <c r="I111" s="56">
        <v>7</v>
      </c>
      <c r="J111" s="56">
        <v>8</v>
      </c>
      <c r="K111" s="56">
        <v>9</v>
      </c>
      <c r="L111" s="57">
        <v>10</v>
      </c>
      <c r="M111" s="33"/>
      <c r="N111" s="13"/>
    </row>
    <row r="112" spans="1:20" ht="15" x14ac:dyDescent="0.25">
      <c r="B112" s="27" t="s">
        <v>46</v>
      </c>
      <c r="C112" s="44">
        <f t="shared" ref="C112:L112" si="22">C51</f>
        <v>240000</v>
      </c>
      <c r="D112" s="44">
        <f t="shared" si="22"/>
        <v>320000</v>
      </c>
      <c r="E112" s="44">
        <f t="shared" si="22"/>
        <v>400000</v>
      </c>
      <c r="F112" s="44">
        <f t="shared" si="22"/>
        <v>400000</v>
      </c>
      <c r="G112" s="44">
        <f t="shared" si="22"/>
        <v>400000</v>
      </c>
      <c r="H112" s="44">
        <f t="shared" si="22"/>
        <v>400000</v>
      </c>
      <c r="I112" s="44">
        <f t="shared" si="22"/>
        <v>400000</v>
      </c>
      <c r="J112" s="44">
        <f t="shared" si="22"/>
        <v>400000</v>
      </c>
      <c r="K112" s="44">
        <f t="shared" si="22"/>
        <v>400000</v>
      </c>
      <c r="L112" s="44">
        <f t="shared" si="22"/>
        <v>400000</v>
      </c>
      <c r="M112" s="48"/>
      <c r="N112" s="13"/>
    </row>
    <row r="113" spans="2:14" ht="15" x14ac:dyDescent="0.25">
      <c r="B113" s="27" t="s">
        <v>47</v>
      </c>
      <c r="C113" s="44">
        <f t="shared" ref="C113:C119" si="23">C52</f>
        <v>26400</v>
      </c>
      <c r="D113" s="44">
        <f t="shared" ref="D113:L113" si="24">D112*$C77</f>
        <v>95582.431381625312</v>
      </c>
      <c r="E113" s="44">
        <f t="shared" si="24"/>
        <v>119478.03922703164</v>
      </c>
      <c r="F113" s="44">
        <f t="shared" si="24"/>
        <v>119478.03922703164</v>
      </c>
      <c r="G113" s="44">
        <f t="shared" si="24"/>
        <v>119478.03922703164</v>
      </c>
      <c r="H113" s="44">
        <f t="shared" si="24"/>
        <v>119478.03922703164</v>
      </c>
      <c r="I113" s="44">
        <f t="shared" si="24"/>
        <v>119478.03922703164</v>
      </c>
      <c r="J113" s="44">
        <f t="shared" si="24"/>
        <v>119478.03922703164</v>
      </c>
      <c r="K113" s="44">
        <f t="shared" si="24"/>
        <v>119478.03922703164</v>
      </c>
      <c r="L113" s="44">
        <f t="shared" si="24"/>
        <v>119478.03922703164</v>
      </c>
      <c r="M113" s="48"/>
      <c r="N113" s="13"/>
    </row>
    <row r="114" spans="2:14" ht="15" x14ac:dyDescent="0.25">
      <c r="B114" s="27" t="s">
        <v>48</v>
      </c>
      <c r="C114" s="44">
        <f t="shared" si="23"/>
        <v>11000</v>
      </c>
      <c r="D114" s="44">
        <f t="shared" ref="D114:L114" si="25">D53</f>
        <v>13200</v>
      </c>
      <c r="E114" s="44">
        <f t="shared" si="25"/>
        <v>15400</v>
      </c>
      <c r="F114" s="44">
        <f t="shared" si="25"/>
        <v>15400</v>
      </c>
      <c r="G114" s="44">
        <f t="shared" si="25"/>
        <v>15400</v>
      </c>
      <c r="H114" s="44">
        <f t="shared" si="25"/>
        <v>15400</v>
      </c>
      <c r="I114" s="44">
        <f t="shared" si="25"/>
        <v>15400</v>
      </c>
      <c r="J114" s="44">
        <f t="shared" si="25"/>
        <v>15400</v>
      </c>
      <c r="K114" s="44">
        <f t="shared" si="25"/>
        <v>15400</v>
      </c>
      <c r="L114" s="44">
        <f t="shared" si="25"/>
        <v>15400</v>
      </c>
      <c r="M114" s="48"/>
      <c r="N114" s="13"/>
    </row>
    <row r="115" spans="2:14" ht="15" x14ac:dyDescent="0.25">
      <c r="B115" s="27" t="s">
        <v>49</v>
      </c>
      <c r="C115" s="44">
        <f t="shared" si="23"/>
        <v>4800</v>
      </c>
      <c r="D115" s="44">
        <f t="shared" ref="D115:L115" si="26">D54</f>
        <v>6400</v>
      </c>
      <c r="E115" s="44">
        <f t="shared" si="26"/>
        <v>8000</v>
      </c>
      <c r="F115" s="44">
        <f t="shared" si="26"/>
        <v>8000</v>
      </c>
      <c r="G115" s="44">
        <f t="shared" si="26"/>
        <v>8000</v>
      </c>
      <c r="H115" s="44">
        <f t="shared" si="26"/>
        <v>8000</v>
      </c>
      <c r="I115" s="44">
        <f t="shared" si="26"/>
        <v>8000</v>
      </c>
      <c r="J115" s="44">
        <f t="shared" si="26"/>
        <v>8000</v>
      </c>
      <c r="K115" s="44">
        <f t="shared" si="26"/>
        <v>8000</v>
      </c>
      <c r="L115" s="44">
        <f t="shared" si="26"/>
        <v>8000</v>
      </c>
      <c r="M115" s="48"/>
      <c r="N115" s="13"/>
    </row>
    <row r="116" spans="2:14" ht="15" x14ac:dyDescent="0.25">
      <c r="B116" s="58" t="s">
        <v>50</v>
      </c>
      <c r="C116" s="59">
        <f t="shared" si="23"/>
        <v>219800</v>
      </c>
      <c r="D116" s="59">
        <f t="shared" ref="D116:L116" si="27">D55</f>
        <v>291600</v>
      </c>
      <c r="E116" s="59">
        <f t="shared" si="27"/>
        <v>363400</v>
      </c>
      <c r="F116" s="59">
        <f t="shared" si="27"/>
        <v>363400</v>
      </c>
      <c r="G116" s="59">
        <f t="shared" si="27"/>
        <v>363400</v>
      </c>
      <c r="H116" s="59">
        <f t="shared" si="27"/>
        <v>363400</v>
      </c>
      <c r="I116" s="59">
        <f t="shared" si="27"/>
        <v>363400</v>
      </c>
      <c r="J116" s="59">
        <f t="shared" si="27"/>
        <v>363400</v>
      </c>
      <c r="K116" s="59">
        <f t="shared" si="27"/>
        <v>363400</v>
      </c>
      <c r="L116" s="59">
        <f t="shared" si="27"/>
        <v>363400</v>
      </c>
      <c r="M116" s="60"/>
      <c r="N116" s="61"/>
    </row>
    <row r="117" spans="2:14" ht="15" x14ac:dyDescent="0.25">
      <c r="B117" s="58" t="s">
        <v>51</v>
      </c>
      <c r="C117" s="59">
        <f t="shared" si="23"/>
        <v>100000</v>
      </c>
      <c r="D117" s="59">
        <f t="shared" ref="D117:L117" si="28">D56</f>
        <v>120000</v>
      </c>
      <c r="E117" s="59">
        <f t="shared" si="28"/>
        <v>140000</v>
      </c>
      <c r="F117" s="59">
        <f t="shared" si="28"/>
        <v>140000</v>
      </c>
      <c r="G117" s="59">
        <f t="shared" si="28"/>
        <v>140000</v>
      </c>
      <c r="H117" s="59">
        <f t="shared" si="28"/>
        <v>140000</v>
      </c>
      <c r="I117" s="59">
        <f t="shared" si="28"/>
        <v>140000</v>
      </c>
      <c r="J117" s="59">
        <f t="shared" si="28"/>
        <v>140000</v>
      </c>
      <c r="K117" s="59">
        <f t="shared" si="28"/>
        <v>140000</v>
      </c>
      <c r="L117" s="59">
        <f t="shared" si="28"/>
        <v>140000</v>
      </c>
      <c r="M117" s="60"/>
      <c r="N117" s="13"/>
    </row>
    <row r="118" spans="2:14" ht="15" x14ac:dyDescent="0.25">
      <c r="B118" s="27" t="s">
        <v>52</v>
      </c>
      <c r="C118" s="44">
        <f t="shared" si="23"/>
        <v>60000</v>
      </c>
      <c r="D118" s="44">
        <f t="shared" ref="D118:L118" si="29">D57</f>
        <v>80000</v>
      </c>
      <c r="E118" s="44">
        <f t="shared" si="29"/>
        <v>100000</v>
      </c>
      <c r="F118" s="44">
        <f t="shared" si="29"/>
        <v>100000</v>
      </c>
      <c r="G118" s="44">
        <f t="shared" si="29"/>
        <v>100000</v>
      </c>
      <c r="H118" s="44">
        <f t="shared" si="29"/>
        <v>100000</v>
      </c>
      <c r="I118" s="44">
        <f t="shared" si="29"/>
        <v>100000</v>
      </c>
      <c r="J118" s="44">
        <f t="shared" si="29"/>
        <v>100000</v>
      </c>
      <c r="K118" s="44">
        <f t="shared" si="29"/>
        <v>100000</v>
      </c>
      <c r="L118" s="44">
        <f t="shared" si="29"/>
        <v>100000</v>
      </c>
      <c r="M118" s="48"/>
      <c r="N118" s="13"/>
    </row>
    <row r="119" spans="2:14" ht="15" x14ac:dyDescent="0.25">
      <c r="B119" s="27" t="s">
        <v>53</v>
      </c>
      <c r="C119" s="44">
        <f t="shared" si="23"/>
        <v>40000</v>
      </c>
      <c r="D119" s="44">
        <f t="shared" ref="D119:L119" si="30">D58</f>
        <v>40000</v>
      </c>
      <c r="E119" s="44">
        <f t="shared" si="30"/>
        <v>40000</v>
      </c>
      <c r="F119" s="44">
        <f t="shared" si="30"/>
        <v>40000</v>
      </c>
      <c r="G119" s="44">
        <f t="shared" si="30"/>
        <v>40000</v>
      </c>
      <c r="H119" s="44">
        <f t="shared" si="30"/>
        <v>40000</v>
      </c>
      <c r="I119" s="44">
        <f t="shared" si="30"/>
        <v>40000</v>
      </c>
      <c r="J119" s="44">
        <f t="shared" si="30"/>
        <v>40000</v>
      </c>
      <c r="K119" s="44">
        <f t="shared" si="30"/>
        <v>40000</v>
      </c>
      <c r="L119" s="44">
        <f t="shared" si="30"/>
        <v>40000</v>
      </c>
      <c r="M119" s="48"/>
      <c r="N119" s="13"/>
    </row>
    <row r="120" spans="2:14" ht="15" x14ac:dyDescent="0.25">
      <c r="B120" s="58" t="s">
        <v>54</v>
      </c>
      <c r="C120" s="59">
        <f>C121+C122</f>
        <v>83900</v>
      </c>
      <c r="D120" s="59">
        <f t="shared" ref="D120:L120" si="31">D121+D122</f>
        <v>81729.208196361098</v>
      </c>
      <c r="E120" s="59">
        <f t="shared" si="31"/>
        <v>79319.629294321916</v>
      </c>
      <c r="F120" s="59">
        <f t="shared" si="31"/>
        <v>76644.996713058441</v>
      </c>
      <c r="G120" s="59">
        <f t="shared" si="31"/>
        <v>73676.154547855956</v>
      </c>
      <c r="H120" s="59">
        <f t="shared" si="31"/>
        <v>70380.739744481223</v>
      </c>
      <c r="I120" s="59">
        <f t="shared" si="31"/>
        <v>66722.829312735252</v>
      </c>
      <c r="J120" s="59">
        <f t="shared" si="31"/>
        <v>62662.548733497228</v>
      </c>
      <c r="K120" s="59">
        <f t="shared" si="31"/>
        <v>58155.637290543033</v>
      </c>
      <c r="L120" s="59">
        <f t="shared" si="31"/>
        <v>53152.965588863866</v>
      </c>
      <c r="M120" s="60"/>
      <c r="N120" s="13"/>
    </row>
    <row r="121" spans="2:14" x14ac:dyDescent="0.3">
      <c r="B121" s="27" t="s">
        <v>55</v>
      </c>
      <c r="C121" s="44">
        <f t="shared" ref="C121:L121" si="32">C60</f>
        <v>47600</v>
      </c>
      <c r="D121" s="44">
        <f t="shared" si="32"/>
        <v>47600</v>
      </c>
      <c r="E121" s="44">
        <f t="shared" si="32"/>
        <v>47600</v>
      </c>
      <c r="F121" s="44">
        <f t="shared" si="32"/>
        <v>47600</v>
      </c>
      <c r="G121" s="44">
        <f t="shared" si="32"/>
        <v>47600</v>
      </c>
      <c r="H121" s="44">
        <f t="shared" si="32"/>
        <v>47600</v>
      </c>
      <c r="I121" s="44">
        <f t="shared" si="32"/>
        <v>47600</v>
      </c>
      <c r="J121" s="44">
        <f t="shared" si="32"/>
        <v>47600</v>
      </c>
      <c r="K121" s="44">
        <f t="shared" si="32"/>
        <v>47600</v>
      </c>
      <c r="L121" s="44">
        <f t="shared" si="32"/>
        <v>47600</v>
      </c>
      <c r="M121" s="48"/>
      <c r="N121" s="13"/>
    </row>
    <row r="122" spans="2:14" ht="15" x14ac:dyDescent="0.25">
      <c r="B122" s="27" t="s">
        <v>81</v>
      </c>
      <c r="C122" s="44">
        <f>E97</f>
        <v>36300</v>
      </c>
      <c r="D122" s="44">
        <f>E98</f>
        <v>34129.208196361098</v>
      </c>
      <c r="E122" s="44">
        <f>E99</f>
        <v>31719.62929432192</v>
      </c>
      <c r="F122" s="44">
        <f>E100</f>
        <v>29044.996713058434</v>
      </c>
      <c r="G122" s="44">
        <f>E101</f>
        <v>26076.15454785596</v>
      </c>
      <c r="H122" s="44">
        <f>E102</f>
        <v>22780.739744481216</v>
      </c>
      <c r="I122" s="44">
        <f>E103</f>
        <v>19122.829312735252</v>
      </c>
      <c r="J122" s="44">
        <f>E104</f>
        <v>15062.548733497231</v>
      </c>
      <c r="K122" s="44">
        <f>E105</f>
        <v>10555.637290543029</v>
      </c>
      <c r="L122" s="44">
        <f>E106</f>
        <v>5552.9655888638636</v>
      </c>
      <c r="M122" s="48"/>
      <c r="N122" s="13"/>
    </row>
    <row r="123" spans="2:14" ht="15" x14ac:dyDescent="0.25">
      <c r="B123" s="58" t="s">
        <v>56</v>
      </c>
      <c r="C123" s="59">
        <f>C116-C117-C120</f>
        <v>35900</v>
      </c>
      <c r="D123" s="59">
        <f t="shared" ref="D123:L123" si="33">D116-D117-D120</f>
        <v>89870.791803638902</v>
      </c>
      <c r="E123" s="59">
        <f t="shared" si="33"/>
        <v>144080.37070567807</v>
      </c>
      <c r="F123" s="59">
        <f t="shared" si="33"/>
        <v>146755.00328694156</v>
      </c>
      <c r="G123" s="59">
        <f t="shared" si="33"/>
        <v>149723.84545214404</v>
      </c>
      <c r="H123" s="59">
        <f t="shared" si="33"/>
        <v>153019.26025551878</v>
      </c>
      <c r="I123" s="59">
        <f t="shared" si="33"/>
        <v>156677.17068726476</v>
      </c>
      <c r="J123" s="59">
        <f t="shared" si="33"/>
        <v>160737.45126650279</v>
      </c>
      <c r="K123" s="59">
        <f t="shared" si="33"/>
        <v>165244.36270945697</v>
      </c>
      <c r="L123" s="59">
        <f t="shared" si="33"/>
        <v>170247.03441113612</v>
      </c>
      <c r="M123" s="48"/>
      <c r="N123" s="13"/>
    </row>
    <row r="124" spans="2:14" ht="15" x14ac:dyDescent="0.25">
      <c r="B124" s="27" t="s">
        <v>57</v>
      </c>
      <c r="C124" s="44">
        <f t="shared" ref="C124:L124" si="34">$C22*C123</f>
        <v>7898</v>
      </c>
      <c r="D124" s="44">
        <f t="shared" si="34"/>
        <v>19771.574196800557</v>
      </c>
      <c r="E124" s="44">
        <f t="shared" si="34"/>
        <v>31697.681555249175</v>
      </c>
      <c r="F124" s="44">
        <f t="shared" si="34"/>
        <v>32286.100723127143</v>
      </c>
      <c r="G124" s="44">
        <f t="shared" si="34"/>
        <v>32939.245999471692</v>
      </c>
      <c r="H124" s="44">
        <f t="shared" si="34"/>
        <v>33664.237256214132</v>
      </c>
      <c r="I124" s="44">
        <f t="shared" si="34"/>
        <v>34468.977551198252</v>
      </c>
      <c r="J124" s="44">
        <f t="shared" si="34"/>
        <v>35362.239278630615</v>
      </c>
      <c r="K124" s="44">
        <f t="shared" si="34"/>
        <v>36353.759796080536</v>
      </c>
      <c r="L124" s="44">
        <f t="shared" si="34"/>
        <v>37454.347570449943</v>
      </c>
      <c r="M124" s="60"/>
      <c r="N124" s="13"/>
    </row>
    <row r="125" spans="2:14" ht="15.75" thickBot="1" x14ac:dyDescent="0.3">
      <c r="B125" s="65" t="s">
        <v>58</v>
      </c>
      <c r="C125" s="59">
        <f>C123-C124</f>
        <v>28002</v>
      </c>
      <c r="D125" s="59">
        <f t="shared" ref="D125:L125" si="35">D123-D124</f>
        <v>70099.217606838341</v>
      </c>
      <c r="E125" s="59">
        <f t="shared" si="35"/>
        <v>112382.68915042889</v>
      </c>
      <c r="F125" s="59">
        <f t="shared" si="35"/>
        <v>114468.90256381442</v>
      </c>
      <c r="G125" s="59">
        <f t="shared" si="35"/>
        <v>116784.59945267235</v>
      </c>
      <c r="H125" s="59">
        <f t="shared" si="35"/>
        <v>119355.02299930464</v>
      </c>
      <c r="I125" s="59">
        <f t="shared" si="35"/>
        <v>122208.19313606652</v>
      </c>
      <c r="J125" s="59">
        <f t="shared" si="35"/>
        <v>125375.21198787217</v>
      </c>
      <c r="K125" s="59">
        <f t="shared" si="35"/>
        <v>128890.60291337644</v>
      </c>
      <c r="L125" s="59">
        <f t="shared" si="35"/>
        <v>132792.68684068619</v>
      </c>
      <c r="M125" s="12"/>
      <c r="N125" s="13"/>
    </row>
    <row r="126" spans="2:14" ht="15" x14ac:dyDescent="0.25">
      <c r="B126" s="13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3"/>
    </row>
    <row r="127" spans="2:14" ht="18" thickBot="1" x14ac:dyDescent="0.35">
      <c r="B127" s="68" t="s">
        <v>82</v>
      </c>
    </row>
    <row r="128" spans="2:14" x14ac:dyDescent="0.3">
      <c r="B128" s="69" t="s">
        <v>20</v>
      </c>
      <c r="C128" s="70">
        <v>0</v>
      </c>
      <c r="D128" s="70">
        <v>1</v>
      </c>
      <c r="E128" s="70">
        <v>2</v>
      </c>
      <c r="F128" s="70">
        <v>3</v>
      </c>
      <c r="G128" s="70">
        <v>4</v>
      </c>
      <c r="H128" s="70">
        <v>5</v>
      </c>
      <c r="I128" s="70">
        <v>6</v>
      </c>
      <c r="J128" s="70">
        <v>7</v>
      </c>
      <c r="K128" s="70">
        <v>8</v>
      </c>
      <c r="L128" s="70">
        <v>9</v>
      </c>
      <c r="M128" s="71">
        <v>10</v>
      </c>
      <c r="N128" s="72"/>
    </row>
    <row r="129" spans="2:14" x14ac:dyDescent="0.3">
      <c r="B129" s="73" t="s">
        <v>60</v>
      </c>
      <c r="C129" s="74">
        <f>C67</f>
        <v>-470000</v>
      </c>
      <c r="D129" s="74">
        <f>D67</f>
        <v>30000</v>
      </c>
      <c r="E129" s="74"/>
      <c r="F129" s="74"/>
      <c r="G129" s="74"/>
      <c r="H129" s="74"/>
      <c r="I129" s="74"/>
      <c r="J129" s="74"/>
      <c r="K129" s="74"/>
      <c r="L129" s="74"/>
      <c r="M129" s="74"/>
      <c r="N129" s="78"/>
    </row>
    <row r="130" spans="2:14" ht="15" x14ac:dyDescent="0.25">
      <c r="B130" s="73" t="s">
        <v>61</v>
      </c>
      <c r="C130" s="74"/>
      <c r="D130" s="74">
        <f t="shared" ref="D130:M130" si="36">D68</f>
        <v>219800</v>
      </c>
      <c r="E130" s="74">
        <f t="shared" si="36"/>
        <v>291600</v>
      </c>
      <c r="F130" s="74">
        <f t="shared" si="36"/>
        <v>363400</v>
      </c>
      <c r="G130" s="74">
        <f t="shared" si="36"/>
        <v>363400</v>
      </c>
      <c r="H130" s="74">
        <f t="shared" si="36"/>
        <v>363400</v>
      </c>
      <c r="I130" s="74">
        <f t="shared" si="36"/>
        <v>363400</v>
      </c>
      <c r="J130" s="74">
        <f t="shared" si="36"/>
        <v>363400</v>
      </c>
      <c r="K130" s="74">
        <f t="shared" si="36"/>
        <v>363400</v>
      </c>
      <c r="L130" s="74">
        <f t="shared" si="36"/>
        <v>363400</v>
      </c>
      <c r="M130" s="74">
        <f t="shared" si="36"/>
        <v>363400</v>
      </c>
      <c r="N130" s="80"/>
    </row>
    <row r="131" spans="2:14" ht="15" x14ac:dyDescent="0.25">
      <c r="B131" s="73" t="s">
        <v>62</v>
      </c>
      <c r="C131" s="74"/>
      <c r="D131" s="74">
        <f t="shared" ref="D131:M131" si="37">D69</f>
        <v>100000</v>
      </c>
      <c r="E131" s="74">
        <f t="shared" si="37"/>
        <v>120000</v>
      </c>
      <c r="F131" s="74">
        <f t="shared" si="37"/>
        <v>140000</v>
      </c>
      <c r="G131" s="74">
        <f t="shared" si="37"/>
        <v>140000</v>
      </c>
      <c r="H131" s="74">
        <f t="shared" si="37"/>
        <v>140000</v>
      </c>
      <c r="I131" s="74">
        <f t="shared" si="37"/>
        <v>140000</v>
      </c>
      <c r="J131" s="74">
        <f t="shared" si="37"/>
        <v>140000</v>
      </c>
      <c r="K131" s="74">
        <f t="shared" si="37"/>
        <v>140000</v>
      </c>
      <c r="L131" s="74">
        <f t="shared" si="37"/>
        <v>140000</v>
      </c>
      <c r="M131" s="74">
        <f t="shared" si="37"/>
        <v>140000</v>
      </c>
      <c r="N131" s="80"/>
    </row>
    <row r="132" spans="2:14" ht="15" x14ac:dyDescent="0.25">
      <c r="B132" s="73" t="s">
        <v>81</v>
      </c>
      <c r="C132" s="74"/>
      <c r="D132" s="74">
        <f>C122</f>
        <v>36300</v>
      </c>
      <c r="E132" s="74">
        <f t="shared" ref="E132:M132" si="38">D122</f>
        <v>34129.208196361098</v>
      </c>
      <c r="F132" s="74">
        <f t="shared" si="38"/>
        <v>31719.62929432192</v>
      </c>
      <c r="G132" s="74">
        <f t="shared" si="38"/>
        <v>29044.996713058434</v>
      </c>
      <c r="H132" s="74">
        <f t="shared" si="38"/>
        <v>26076.15454785596</v>
      </c>
      <c r="I132" s="74">
        <f t="shared" si="38"/>
        <v>22780.739744481216</v>
      </c>
      <c r="J132" s="74">
        <f t="shared" si="38"/>
        <v>19122.829312735252</v>
      </c>
      <c r="K132" s="74">
        <f t="shared" si="38"/>
        <v>15062.548733497231</v>
      </c>
      <c r="L132" s="74">
        <f t="shared" si="38"/>
        <v>10555.637290543029</v>
      </c>
      <c r="M132" s="74">
        <f t="shared" si="38"/>
        <v>5552.9655888638636</v>
      </c>
      <c r="N132" s="80"/>
    </row>
    <row r="133" spans="2:14" ht="15" x14ac:dyDescent="0.25">
      <c r="B133" s="73" t="s">
        <v>63</v>
      </c>
      <c r="C133" s="74"/>
      <c r="D133" s="74">
        <f>+C124</f>
        <v>7898</v>
      </c>
      <c r="E133" s="74">
        <f t="shared" ref="E133:M133" si="39">+D124</f>
        <v>19771.574196800557</v>
      </c>
      <c r="F133" s="74">
        <f t="shared" si="39"/>
        <v>31697.681555249175</v>
      </c>
      <c r="G133" s="74">
        <f t="shared" si="39"/>
        <v>32286.100723127143</v>
      </c>
      <c r="H133" s="74">
        <f t="shared" si="39"/>
        <v>32939.245999471692</v>
      </c>
      <c r="I133" s="74">
        <f t="shared" si="39"/>
        <v>33664.237256214132</v>
      </c>
      <c r="J133" s="74">
        <f t="shared" si="39"/>
        <v>34468.977551198252</v>
      </c>
      <c r="K133" s="74">
        <f t="shared" si="39"/>
        <v>35362.239278630615</v>
      </c>
      <c r="L133" s="74">
        <f t="shared" si="39"/>
        <v>36353.759796080536</v>
      </c>
      <c r="M133" s="74">
        <f t="shared" si="39"/>
        <v>37454.347570449943</v>
      </c>
      <c r="N133" s="80"/>
    </row>
    <row r="134" spans="2:14" ht="15" x14ac:dyDescent="0.25">
      <c r="B134" s="73" t="s">
        <v>64</v>
      </c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>
        <f>M71</f>
        <v>84000</v>
      </c>
      <c r="N134" s="81"/>
    </row>
    <row r="135" spans="2:14" x14ac:dyDescent="0.3">
      <c r="B135" s="116" t="s">
        <v>83</v>
      </c>
      <c r="C135" s="74">
        <f>C90</f>
        <v>330000</v>
      </c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117"/>
    </row>
    <row r="136" spans="2:14" x14ac:dyDescent="0.3">
      <c r="B136" s="116" t="s">
        <v>79</v>
      </c>
      <c r="C136" s="74"/>
      <c r="D136" s="74">
        <f>F97</f>
        <v>19734.470942171807</v>
      </c>
      <c r="E136" s="74">
        <f>F98</f>
        <v>21905.262745810709</v>
      </c>
      <c r="F136" s="74">
        <f>F99</f>
        <v>24314.841647849888</v>
      </c>
      <c r="G136" s="74">
        <f>F100</f>
        <v>26989.474229113373</v>
      </c>
      <c r="H136" s="74">
        <f>F101</f>
        <v>29958.316394315847</v>
      </c>
      <c r="I136" s="74">
        <f>F102</f>
        <v>33253.731197690591</v>
      </c>
      <c r="J136" s="74">
        <f>F103</f>
        <v>36911.641629436555</v>
      </c>
      <c r="K136" s="74">
        <f>F104</f>
        <v>40971.922208674572</v>
      </c>
      <c r="L136" s="74">
        <f>F105</f>
        <v>45478.833651628782</v>
      </c>
      <c r="M136" s="74">
        <f>F106</f>
        <v>50481.505353307941</v>
      </c>
      <c r="N136" s="117"/>
    </row>
    <row r="137" spans="2:14" ht="15.75" thickBot="1" x14ac:dyDescent="0.3">
      <c r="B137" s="82" t="s">
        <v>65</v>
      </c>
      <c r="C137" s="74">
        <f>SUM(C129:C136)</f>
        <v>-140000</v>
      </c>
      <c r="D137" s="74">
        <f t="shared" ref="D137:M137" si="40">D130-D129-D131-D132-D133+D134+D135-D136</f>
        <v>25867.529057828193</v>
      </c>
      <c r="E137" s="74">
        <f t="shared" si="40"/>
        <v>95793.954861027654</v>
      </c>
      <c r="F137" s="74">
        <f t="shared" si="40"/>
        <v>135667.84750257901</v>
      </c>
      <c r="G137" s="74">
        <f t="shared" si="40"/>
        <v>135079.42833470105</v>
      </c>
      <c r="H137" s="74">
        <f t="shared" si="40"/>
        <v>134426.28305835649</v>
      </c>
      <c r="I137" s="74">
        <f t="shared" si="40"/>
        <v>133701.29180161405</v>
      </c>
      <c r="J137" s="74">
        <f t="shared" si="40"/>
        <v>132896.55150662997</v>
      </c>
      <c r="K137" s="74">
        <f t="shared" si="40"/>
        <v>132003.28977919757</v>
      </c>
      <c r="L137" s="74">
        <f t="shared" si="40"/>
        <v>131011.76926174766</v>
      </c>
      <c r="M137" s="74">
        <f t="shared" si="40"/>
        <v>213911.18148737826</v>
      </c>
      <c r="N137" s="84"/>
    </row>
    <row r="138" spans="2:14" ht="15" x14ac:dyDescent="0.25">
      <c r="C138" s="118"/>
      <c r="D138" s="118"/>
      <c r="E138" s="118"/>
      <c r="F138" s="118"/>
      <c r="G138" s="118"/>
      <c r="H138" s="118"/>
      <c r="I138" s="118"/>
      <c r="J138" s="118"/>
      <c r="K138" s="118"/>
      <c r="L138" s="118"/>
      <c r="M138" s="118"/>
    </row>
    <row r="139" spans="2:14" ht="15" x14ac:dyDescent="0.25">
      <c r="C139" s="118"/>
      <c r="D139" s="118"/>
      <c r="E139" s="118"/>
      <c r="F139" s="118"/>
      <c r="G139" s="118"/>
      <c r="H139" s="118"/>
      <c r="I139" s="118"/>
      <c r="J139" s="118"/>
      <c r="K139" s="118"/>
      <c r="L139" s="118"/>
      <c r="M139" s="118"/>
    </row>
    <row r="140" spans="2:14" ht="15" thickBot="1" x14ac:dyDescent="0.35">
      <c r="B140" s="93" t="s">
        <v>97</v>
      </c>
      <c r="C140" s="118"/>
      <c r="D140" s="118"/>
      <c r="E140" s="118"/>
      <c r="F140" s="174" t="s">
        <v>98</v>
      </c>
      <c r="G140" s="118"/>
      <c r="H140" s="118"/>
      <c r="I140" s="118"/>
      <c r="J140" s="118"/>
      <c r="K140" s="118"/>
      <c r="L140" s="118"/>
      <c r="M140" s="118"/>
    </row>
    <row r="141" spans="2:14" ht="15.6" x14ac:dyDescent="0.3">
      <c r="B141" s="159" t="s">
        <v>66</v>
      </c>
      <c r="C141" s="177">
        <f>NPV(C142, D137:M137)+C137</f>
        <v>461995.60188884544</v>
      </c>
      <c r="D141" s="118"/>
      <c r="E141" s="118"/>
      <c r="F141" s="175" t="s">
        <v>60</v>
      </c>
      <c r="G141" s="166">
        <f>-+C129</f>
        <v>470000</v>
      </c>
      <c r="H141" s="118"/>
      <c r="I141" s="118"/>
      <c r="J141" s="118"/>
      <c r="K141" s="118"/>
      <c r="L141" s="118"/>
      <c r="M141" s="118"/>
    </row>
    <row r="142" spans="2:14" ht="15.6" x14ac:dyDescent="0.3">
      <c r="B142" s="153" t="s">
        <v>99</v>
      </c>
      <c r="C142" s="161">
        <f>+G148</f>
        <v>0.1378723404255319</v>
      </c>
      <c r="D142" s="118"/>
      <c r="F142" s="176" t="s">
        <v>84</v>
      </c>
      <c r="G142" s="168">
        <f>+C135</f>
        <v>330000</v>
      </c>
      <c r="H142" s="118"/>
      <c r="I142" s="118"/>
      <c r="J142" s="118"/>
      <c r="K142" s="118"/>
      <c r="L142" s="118"/>
      <c r="M142" s="118"/>
    </row>
    <row r="143" spans="2:14" ht="15.75" x14ac:dyDescent="0.25">
      <c r="B143" s="153" t="s">
        <v>67</v>
      </c>
      <c r="C143" s="162">
        <f>IRR(C137:N137, 17%)</f>
        <v>0.59995190046958324</v>
      </c>
      <c r="D143" s="118"/>
      <c r="F143" s="176" t="s">
        <v>85</v>
      </c>
      <c r="G143" s="168">
        <f>+G141-G142</f>
        <v>140000</v>
      </c>
      <c r="H143" s="118"/>
      <c r="I143" s="118"/>
      <c r="J143" s="118"/>
      <c r="K143" s="118"/>
      <c r="L143" s="118"/>
      <c r="M143" s="118"/>
    </row>
    <row r="144" spans="2:14" ht="15.6" x14ac:dyDescent="0.3">
      <c r="B144" s="160" t="s">
        <v>60</v>
      </c>
      <c r="C144" s="163">
        <f>+-C129</f>
        <v>470000</v>
      </c>
      <c r="D144" s="118"/>
      <c r="F144" s="176" t="s">
        <v>93</v>
      </c>
      <c r="G144" s="169">
        <f>+G142/G141</f>
        <v>0.7021276595744681</v>
      </c>
      <c r="H144" s="118"/>
      <c r="I144" s="118"/>
      <c r="J144" s="118"/>
      <c r="K144" s="118"/>
      <c r="L144" s="118"/>
      <c r="M144" s="118"/>
    </row>
    <row r="145" spans="2:13" ht="15.6" x14ac:dyDescent="0.3">
      <c r="B145" s="153"/>
      <c r="C145" s="164"/>
      <c r="D145" s="118"/>
      <c r="F145" s="176" t="s">
        <v>94</v>
      </c>
      <c r="G145" s="169">
        <f>+G143/G141</f>
        <v>0.2978723404255319</v>
      </c>
      <c r="H145" s="118"/>
      <c r="I145" s="118"/>
      <c r="J145" s="118"/>
      <c r="K145" s="118"/>
      <c r="L145" s="118"/>
      <c r="M145" s="118"/>
    </row>
    <row r="146" spans="2:13" ht="15.6" x14ac:dyDescent="0.3">
      <c r="B146" s="153" t="s">
        <v>102</v>
      </c>
      <c r="C146" s="164">
        <f>+C141/C144</f>
        <v>0.98296936572094773</v>
      </c>
      <c r="F146" s="176" t="s">
        <v>95</v>
      </c>
      <c r="G146" s="170">
        <v>0.12</v>
      </c>
    </row>
    <row r="147" spans="2:13" ht="15.6" x14ac:dyDescent="0.3">
      <c r="B147" s="153" t="s">
        <v>89</v>
      </c>
      <c r="C147" s="163">
        <f>NPV(C142,D137:M137)</f>
        <v>601995.60188884544</v>
      </c>
      <c r="D147" s="118"/>
      <c r="F147" s="176" t="s">
        <v>96</v>
      </c>
      <c r="G147" s="170">
        <v>0.18</v>
      </c>
      <c r="H147" s="118"/>
      <c r="I147" s="118"/>
      <c r="J147" s="118"/>
      <c r="K147" s="118"/>
      <c r="L147" s="118"/>
      <c r="M147" s="118"/>
    </row>
    <row r="148" spans="2:13" ht="15.6" x14ac:dyDescent="0.3">
      <c r="B148" s="153" t="s">
        <v>90</v>
      </c>
      <c r="C148" s="163">
        <f>-+C137</f>
        <v>140000</v>
      </c>
      <c r="F148" s="176" t="s">
        <v>100</v>
      </c>
      <c r="G148" s="171">
        <f>+(G144*G146)+(G145*G147)</f>
        <v>0.1378723404255319</v>
      </c>
      <c r="H148" s="119"/>
    </row>
    <row r="149" spans="2:13" ht="15.6" thickBot="1" x14ac:dyDescent="0.35">
      <c r="B149" s="154" t="s">
        <v>103</v>
      </c>
      <c r="C149" s="165">
        <f>+C147/C148</f>
        <v>4.2999685849203244</v>
      </c>
      <c r="F149" s="167"/>
      <c r="G149" s="170"/>
      <c r="H149" s="119"/>
      <c r="K149" s="119"/>
    </row>
    <row r="150" spans="2:13" ht="15.6" thickBot="1" x14ac:dyDescent="0.35">
      <c r="B150" s="150"/>
      <c r="F150" s="172"/>
      <c r="G150" s="173"/>
      <c r="H150" s="119"/>
      <c r="K150" s="119"/>
    </row>
    <row r="151" spans="2:13" ht="15" x14ac:dyDescent="0.3">
      <c r="B151" s="150"/>
      <c r="F151" s="139"/>
    </row>
    <row r="152" spans="2:13" x14ac:dyDescent="0.3">
      <c r="F152" s="138"/>
    </row>
    <row r="153" spans="2:13" x14ac:dyDescent="0.3">
      <c r="F153" s="138"/>
    </row>
    <row r="154" spans="2:13" x14ac:dyDescent="0.3">
      <c r="F154" s="140"/>
    </row>
    <row r="155" spans="2:13" x14ac:dyDescent="0.3">
      <c r="B155" s="180"/>
      <c r="F155" s="138"/>
    </row>
    <row r="156" spans="2:13" x14ac:dyDescent="0.3">
      <c r="F156" s="140"/>
    </row>
  </sheetData>
  <mergeCells count="11">
    <mergeCell ref="A4:A10"/>
    <mergeCell ref="G6:H6"/>
    <mergeCell ref="A16:A19"/>
    <mergeCell ref="A26:A31"/>
    <mergeCell ref="A35:A40"/>
    <mergeCell ref="F35:G35"/>
    <mergeCell ref="A44:A47"/>
    <mergeCell ref="B44:C44"/>
    <mergeCell ref="A50:A62"/>
    <mergeCell ref="A66:A72"/>
    <mergeCell ref="O72:R7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M103"/>
  <sheetViews>
    <sheetView tabSelected="1" zoomScale="85" zoomScaleNormal="85" workbookViewId="0">
      <selection activeCell="K92" sqref="K92"/>
    </sheetView>
  </sheetViews>
  <sheetFormatPr baseColWidth="10" defaultRowHeight="14.4" x14ac:dyDescent="0.3"/>
  <cols>
    <col min="1" max="1" width="44.33203125" customWidth="1"/>
    <col min="2" max="2" width="16" customWidth="1"/>
    <col min="3" max="3" width="12.44140625" customWidth="1"/>
    <col min="4" max="4" width="12.88671875" customWidth="1"/>
    <col min="5" max="5" width="18.5546875" customWidth="1"/>
    <col min="6" max="6" width="12.6640625" customWidth="1"/>
    <col min="7" max="7" width="12.33203125" customWidth="1"/>
    <col min="8" max="8" width="20" customWidth="1"/>
    <col min="9" max="9" width="12.88671875" customWidth="1"/>
    <col min="10" max="10" width="13.6640625" customWidth="1"/>
    <col min="11" max="11" width="12.44140625" customWidth="1"/>
  </cols>
  <sheetData>
    <row r="4" spans="1:13" ht="18" thickBot="1" x14ac:dyDescent="0.35">
      <c r="A4" s="3" t="s">
        <v>69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3"/>
    </row>
    <row r="5" spans="1:13" ht="15" x14ac:dyDescent="0.3">
      <c r="A5" s="94" t="s">
        <v>70</v>
      </c>
      <c r="B5" s="95">
        <f>(1+B72)*(470000)</f>
        <v>470000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</row>
    <row r="6" spans="1:13" ht="15" x14ac:dyDescent="0.3">
      <c r="A6" s="96" t="s">
        <v>71</v>
      </c>
      <c r="B6" s="97">
        <v>330000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3"/>
    </row>
    <row r="7" spans="1:13" ht="15" x14ac:dyDescent="0.3">
      <c r="A7" s="96" t="s">
        <v>72</v>
      </c>
      <c r="B7" s="98">
        <f>(1+B76)*11%</f>
        <v>0.11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3"/>
    </row>
    <row r="8" spans="1:13" ht="15" x14ac:dyDescent="0.3">
      <c r="A8" s="96" t="s">
        <v>73</v>
      </c>
      <c r="B8" s="99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</row>
    <row r="9" spans="1:13" ht="15.75" thickBot="1" x14ac:dyDescent="0.3">
      <c r="A9" s="100" t="s">
        <v>74</v>
      </c>
      <c r="B9" s="101">
        <f>PMT(B7,B8,B6)</f>
        <v>-56034.470942171807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ht="15" x14ac:dyDescent="0.25">
      <c r="A10" s="13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3"/>
    </row>
    <row r="11" spans="1:13" ht="18.75" thickBot="1" x14ac:dyDescent="0.3">
      <c r="A11" s="3" t="s">
        <v>75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3"/>
    </row>
    <row r="12" spans="1:13" ht="31.2" x14ac:dyDescent="0.3">
      <c r="A12" s="102" t="s">
        <v>20</v>
      </c>
      <c r="B12" s="103" t="s">
        <v>76</v>
      </c>
      <c r="C12" s="137" t="s">
        <v>77</v>
      </c>
      <c r="D12" s="137" t="s">
        <v>78</v>
      </c>
      <c r="E12" s="104" t="s">
        <v>79</v>
      </c>
      <c r="F12" s="12"/>
      <c r="G12" s="12"/>
      <c r="H12" s="12"/>
      <c r="I12" s="12"/>
      <c r="J12" s="12"/>
      <c r="K12" s="105"/>
      <c r="L12" s="12"/>
      <c r="M12" s="13"/>
    </row>
    <row r="13" spans="1:13" ht="15.75" x14ac:dyDescent="0.25">
      <c r="A13" s="106">
        <v>1</v>
      </c>
      <c r="B13" s="107">
        <v>330000</v>
      </c>
      <c r="C13" s="108">
        <f>-B$9</f>
        <v>56034.470942171807</v>
      </c>
      <c r="D13" s="109">
        <f>B13*B$7</f>
        <v>36300</v>
      </c>
      <c r="E13" s="110">
        <f>C13-D13</f>
        <v>19734.470942171807</v>
      </c>
      <c r="F13" s="12"/>
      <c r="G13" s="12"/>
      <c r="H13" s="12"/>
      <c r="I13" s="12"/>
      <c r="J13" s="12"/>
      <c r="K13" s="12"/>
      <c r="L13" s="12"/>
      <c r="M13" s="13"/>
    </row>
    <row r="14" spans="1:13" ht="15.75" x14ac:dyDescent="0.25">
      <c r="A14" s="106">
        <v>2</v>
      </c>
      <c r="B14" s="108">
        <f>B13-E13</f>
        <v>310265.52905782819</v>
      </c>
      <c r="C14" s="108">
        <f t="shared" ref="C14:C22" si="0">-B$9</f>
        <v>56034.470942171807</v>
      </c>
      <c r="D14" s="109">
        <f t="shared" ref="D14:D22" si="1">B14*B$7</f>
        <v>34129.208196361098</v>
      </c>
      <c r="E14" s="110">
        <f t="shared" ref="E14:E22" si="2">C14-D14</f>
        <v>21905.262745810709</v>
      </c>
      <c r="F14" s="12"/>
      <c r="G14" s="12"/>
      <c r="H14" s="12"/>
      <c r="I14" s="12"/>
      <c r="J14" s="12"/>
      <c r="K14" s="111"/>
      <c r="L14" s="12"/>
      <c r="M14" s="13"/>
    </row>
    <row r="15" spans="1:13" ht="15.75" x14ac:dyDescent="0.25">
      <c r="A15" s="106">
        <v>3</v>
      </c>
      <c r="B15" s="108">
        <f t="shared" ref="B15:B22" si="3">B14-E14</f>
        <v>288360.26631201745</v>
      </c>
      <c r="C15" s="108">
        <f t="shared" si="0"/>
        <v>56034.470942171807</v>
      </c>
      <c r="D15" s="109">
        <f t="shared" si="1"/>
        <v>31719.62929432192</v>
      </c>
      <c r="E15" s="110">
        <f t="shared" si="2"/>
        <v>24314.841647849888</v>
      </c>
      <c r="F15" s="12"/>
      <c r="G15" s="12"/>
      <c r="H15" s="12"/>
      <c r="I15" s="12"/>
      <c r="J15" s="12"/>
      <c r="K15" s="12"/>
      <c r="L15" s="12"/>
      <c r="M15" s="13"/>
    </row>
    <row r="16" spans="1:13" ht="15.75" x14ac:dyDescent="0.25">
      <c r="A16" s="106">
        <v>4</v>
      </c>
      <c r="B16" s="108">
        <f t="shared" si="3"/>
        <v>264045.42466416757</v>
      </c>
      <c r="C16" s="108">
        <f t="shared" si="0"/>
        <v>56034.470942171807</v>
      </c>
      <c r="D16" s="109">
        <f t="shared" si="1"/>
        <v>29044.996713058434</v>
      </c>
      <c r="E16" s="110">
        <f t="shared" si="2"/>
        <v>26989.474229113373</v>
      </c>
      <c r="F16" s="12"/>
      <c r="G16" s="12"/>
      <c r="H16" s="12"/>
      <c r="I16" s="12"/>
      <c r="J16" s="12"/>
      <c r="K16" s="12"/>
      <c r="L16" s="12"/>
      <c r="M16" s="13"/>
    </row>
    <row r="17" spans="1:13" ht="15.75" x14ac:dyDescent="0.25">
      <c r="A17" s="106">
        <v>5</v>
      </c>
      <c r="B17" s="108">
        <f t="shared" si="3"/>
        <v>237055.9504350542</v>
      </c>
      <c r="C17" s="108">
        <f t="shared" si="0"/>
        <v>56034.470942171807</v>
      </c>
      <c r="D17" s="109">
        <f t="shared" si="1"/>
        <v>26076.15454785596</v>
      </c>
      <c r="E17" s="110">
        <f t="shared" si="2"/>
        <v>29958.316394315847</v>
      </c>
      <c r="F17" s="12"/>
      <c r="G17" s="12"/>
      <c r="H17" s="12"/>
      <c r="I17" s="12"/>
      <c r="J17" s="12"/>
      <c r="K17" s="112"/>
      <c r="L17" s="12"/>
      <c r="M17" s="13"/>
    </row>
    <row r="18" spans="1:13" ht="15.75" x14ac:dyDescent="0.25">
      <c r="A18" s="106">
        <v>6</v>
      </c>
      <c r="B18" s="108">
        <f t="shared" si="3"/>
        <v>207097.63404073834</v>
      </c>
      <c r="C18" s="108">
        <f t="shared" si="0"/>
        <v>56034.470942171807</v>
      </c>
      <c r="D18" s="109">
        <f t="shared" si="1"/>
        <v>22780.739744481216</v>
      </c>
      <c r="E18" s="110">
        <f t="shared" si="2"/>
        <v>33253.731197690591</v>
      </c>
      <c r="F18" s="12"/>
      <c r="G18" s="12"/>
      <c r="H18" s="12"/>
      <c r="I18" s="12"/>
      <c r="J18" s="12"/>
      <c r="K18" s="113"/>
      <c r="L18" s="12"/>
      <c r="M18" s="13"/>
    </row>
    <row r="19" spans="1:13" ht="15.75" x14ac:dyDescent="0.25">
      <c r="A19" s="106">
        <v>7</v>
      </c>
      <c r="B19" s="108">
        <f t="shared" si="3"/>
        <v>173843.90284304775</v>
      </c>
      <c r="C19" s="108">
        <f t="shared" si="0"/>
        <v>56034.470942171807</v>
      </c>
      <c r="D19" s="109">
        <f t="shared" si="1"/>
        <v>19122.829312735252</v>
      </c>
      <c r="E19" s="110">
        <f t="shared" si="2"/>
        <v>36911.641629436555</v>
      </c>
    </row>
    <row r="20" spans="1:13" ht="15.75" x14ac:dyDescent="0.25">
      <c r="A20" s="106">
        <v>8</v>
      </c>
      <c r="B20" s="108">
        <f t="shared" si="3"/>
        <v>136932.2612136112</v>
      </c>
      <c r="C20" s="108">
        <f t="shared" si="0"/>
        <v>56034.470942171807</v>
      </c>
      <c r="D20" s="109">
        <f t="shared" si="1"/>
        <v>15062.548733497231</v>
      </c>
      <c r="E20" s="110">
        <f t="shared" si="2"/>
        <v>40971.922208674572</v>
      </c>
    </row>
    <row r="21" spans="1:13" ht="15.75" x14ac:dyDescent="0.25">
      <c r="A21" s="106">
        <v>9</v>
      </c>
      <c r="B21" s="108">
        <f t="shared" si="3"/>
        <v>95960.339004936628</v>
      </c>
      <c r="C21" s="108">
        <f t="shared" si="0"/>
        <v>56034.470942171807</v>
      </c>
      <c r="D21" s="109">
        <f t="shared" si="1"/>
        <v>10555.637290543029</v>
      </c>
      <c r="E21" s="110">
        <f t="shared" si="2"/>
        <v>45478.833651628782</v>
      </c>
    </row>
    <row r="22" spans="1:13" ht="15.75" x14ac:dyDescent="0.25">
      <c r="A22" s="106">
        <v>10</v>
      </c>
      <c r="B22" s="108">
        <f t="shared" si="3"/>
        <v>50481.505353307846</v>
      </c>
      <c r="C22" s="108">
        <f t="shared" si="0"/>
        <v>56034.470942171807</v>
      </c>
      <c r="D22" s="109">
        <f t="shared" si="1"/>
        <v>5552.9655888638636</v>
      </c>
      <c r="E22" s="110">
        <f t="shared" si="2"/>
        <v>50481.505353307941</v>
      </c>
    </row>
    <row r="23" spans="1:13" ht="15" x14ac:dyDescent="0.25">
      <c r="A23" s="114"/>
    </row>
    <row r="26" spans="1:13" ht="21.6" thickBot="1" x14ac:dyDescent="0.45">
      <c r="A26" s="115" t="s">
        <v>80</v>
      </c>
    </row>
    <row r="27" spans="1:13" x14ac:dyDescent="0.3">
      <c r="A27" s="55" t="s">
        <v>45</v>
      </c>
      <c r="B27" s="56">
        <v>1</v>
      </c>
      <c r="C27" s="56">
        <v>2</v>
      </c>
      <c r="D27" s="56">
        <v>3</v>
      </c>
      <c r="E27" s="56">
        <v>4</v>
      </c>
      <c r="F27" s="56">
        <v>5</v>
      </c>
      <c r="G27" s="56">
        <v>6</v>
      </c>
      <c r="H27" s="56">
        <v>7</v>
      </c>
      <c r="I27" s="56">
        <v>8</v>
      </c>
      <c r="J27" s="56">
        <v>9</v>
      </c>
      <c r="K27" s="57">
        <v>10</v>
      </c>
      <c r="L27" s="33"/>
      <c r="M27" s="13"/>
    </row>
    <row r="28" spans="1:13" x14ac:dyDescent="0.3">
      <c r="A28" s="27" t="s">
        <v>46</v>
      </c>
      <c r="B28" s="44">
        <v>240000</v>
      </c>
      <c r="C28" s="44">
        <v>320000</v>
      </c>
      <c r="D28" s="44">
        <v>400000</v>
      </c>
      <c r="E28" s="44">
        <v>400000</v>
      </c>
      <c r="F28" s="44">
        <v>400000</v>
      </c>
      <c r="G28" s="44">
        <v>400000</v>
      </c>
      <c r="H28" s="44">
        <v>400000</v>
      </c>
      <c r="I28" s="44">
        <v>400000</v>
      </c>
      <c r="J28" s="44">
        <v>400000</v>
      </c>
      <c r="K28" s="44">
        <v>400000</v>
      </c>
      <c r="L28" s="48"/>
      <c r="M28" s="13"/>
    </row>
    <row r="29" spans="1:13" x14ac:dyDescent="0.3">
      <c r="A29" s="27" t="s">
        <v>47</v>
      </c>
      <c r="B29" s="44">
        <v>26400</v>
      </c>
      <c r="C29" s="44">
        <v>95582.431381625312</v>
      </c>
      <c r="D29" s="44">
        <v>119478.03922703164</v>
      </c>
      <c r="E29" s="44">
        <v>119478.03922703164</v>
      </c>
      <c r="F29" s="44">
        <v>119478.03922703164</v>
      </c>
      <c r="G29" s="44">
        <v>119478.03922703164</v>
      </c>
      <c r="H29" s="44">
        <v>119478.03922703164</v>
      </c>
      <c r="I29" s="44">
        <v>119478.03922703164</v>
      </c>
      <c r="J29" s="44">
        <v>119478.03922703164</v>
      </c>
      <c r="K29" s="44">
        <v>119478.03922703164</v>
      </c>
      <c r="L29" s="48"/>
      <c r="M29" s="13"/>
    </row>
    <row r="30" spans="1:13" x14ac:dyDescent="0.3">
      <c r="A30" s="27" t="s">
        <v>48</v>
      </c>
      <c r="B30" s="44">
        <v>11000</v>
      </c>
      <c r="C30" s="44">
        <v>13200</v>
      </c>
      <c r="D30" s="44">
        <v>15400</v>
      </c>
      <c r="E30" s="44">
        <v>15400</v>
      </c>
      <c r="F30" s="44">
        <v>15400</v>
      </c>
      <c r="G30" s="44">
        <v>15400</v>
      </c>
      <c r="H30" s="44">
        <v>15400</v>
      </c>
      <c r="I30" s="44">
        <v>15400</v>
      </c>
      <c r="J30" s="44">
        <v>15400</v>
      </c>
      <c r="K30" s="44">
        <v>15400</v>
      </c>
      <c r="L30" s="48"/>
      <c r="M30" s="13"/>
    </row>
    <row r="31" spans="1:13" x14ac:dyDescent="0.3">
      <c r="A31" s="27" t="s">
        <v>49</v>
      </c>
      <c r="B31" s="44">
        <v>4800</v>
      </c>
      <c r="C31" s="44">
        <v>6400</v>
      </c>
      <c r="D31" s="44">
        <v>8000</v>
      </c>
      <c r="E31" s="44">
        <v>8000</v>
      </c>
      <c r="F31" s="44">
        <v>8000</v>
      </c>
      <c r="G31" s="44">
        <v>8000</v>
      </c>
      <c r="H31" s="44">
        <v>8000</v>
      </c>
      <c r="I31" s="44">
        <v>8000</v>
      </c>
      <c r="J31" s="44">
        <v>8000</v>
      </c>
      <c r="K31" s="44">
        <v>8000</v>
      </c>
      <c r="L31" s="48"/>
      <c r="M31" s="13"/>
    </row>
    <row r="32" spans="1:13" x14ac:dyDescent="0.3">
      <c r="A32" s="58" t="s">
        <v>50</v>
      </c>
      <c r="B32" s="59">
        <f>(1+B73)*(+B28-(B29-B30+B31))</f>
        <v>219800</v>
      </c>
      <c r="C32" s="59">
        <f t="shared" ref="C32:K32" si="4">(1+C73)*(+C28-(C29-C30+C31))</f>
        <v>231217.5686183747</v>
      </c>
      <c r="D32" s="59">
        <f t="shared" si="4"/>
        <v>287921.96077296836</v>
      </c>
      <c r="E32" s="59">
        <f t="shared" si="4"/>
        <v>287921.96077296836</v>
      </c>
      <c r="F32" s="59">
        <f t="shared" si="4"/>
        <v>287921.96077296836</v>
      </c>
      <c r="G32" s="59">
        <f t="shared" si="4"/>
        <v>287921.96077296836</v>
      </c>
      <c r="H32" s="59">
        <f t="shared" si="4"/>
        <v>287921.96077296836</v>
      </c>
      <c r="I32" s="59">
        <f t="shared" si="4"/>
        <v>287921.96077296836</v>
      </c>
      <c r="J32" s="59">
        <f t="shared" si="4"/>
        <v>287921.96077296836</v>
      </c>
      <c r="K32" s="59">
        <f t="shared" si="4"/>
        <v>287921.96077296836</v>
      </c>
      <c r="L32" s="60"/>
      <c r="M32" s="61"/>
    </row>
    <row r="33" spans="1:13" x14ac:dyDescent="0.3">
      <c r="A33" s="58" t="s">
        <v>51</v>
      </c>
      <c r="B33" s="59">
        <f>B34+B35</f>
        <v>100000</v>
      </c>
      <c r="C33" s="59">
        <f t="shared" ref="C33:K33" si="5">C34+C35</f>
        <v>120000</v>
      </c>
      <c r="D33" s="59">
        <f t="shared" si="5"/>
        <v>140000</v>
      </c>
      <c r="E33" s="59">
        <f t="shared" si="5"/>
        <v>140000</v>
      </c>
      <c r="F33" s="59">
        <f t="shared" si="5"/>
        <v>140000</v>
      </c>
      <c r="G33" s="59">
        <f t="shared" si="5"/>
        <v>140000</v>
      </c>
      <c r="H33" s="59">
        <f t="shared" si="5"/>
        <v>140000</v>
      </c>
      <c r="I33" s="59">
        <f t="shared" si="5"/>
        <v>140000</v>
      </c>
      <c r="J33" s="59">
        <f t="shared" si="5"/>
        <v>140000</v>
      </c>
      <c r="K33" s="59">
        <f t="shared" si="5"/>
        <v>140000</v>
      </c>
      <c r="L33" s="60"/>
      <c r="M33" s="13"/>
    </row>
    <row r="34" spans="1:13" x14ac:dyDescent="0.3">
      <c r="A34" s="27" t="s">
        <v>52</v>
      </c>
      <c r="B34" s="44">
        <f>(1+B74)*60000</f>
        <v>60000</v>
      </c>
      <c r="C34" s="44">
        <f>(1+B74)*80000</f>
        <v>80000</v>
      </c>
      <c r="D34" s="44">
        <f>(1+B74)*100000</f>
        <v>100000</v>
      </c>
      <c r="E34" s="44">
        <f t="shared" ref="E34:K34" si="6">(1+C74)*100000</f>
        <v>100000</v>
      </c>
      <c r="F34" s="44">
        <f t="shared" si="6"/>
        <v>100000</v>
      </c>
      <c r="G34" s="44">
        <f t="shared" si="6"/>
        <v>100000</v>
      </c>
      <c r="H34" s="44">
        <f t="shared" si="6"/>
        <v>100000</v>
      </c>
      <c r="I34" s="44">
        <f t="shared" si="6"/>
        <v>100000</v>
      </c>
      <c r="J34" s="44">
        <f t="shared" si="6"/>
        <v>100000</v>
      </c>
      <c r="K34" s="44">
        <f t="shared" si="6"/>
        <v>100000</v>
      </c>
      <c r="L34" s="48"/>
      <c r="M34" s="13"/>
    </row>
    <row r="35" spans="1:13" x14ac:dyDescent="0.3">
      <c r="A35" s="27" t="s">
        <v>53</v>
      </c>
      <c r="B35" s="44">
        <f>(1+B75)*40000</f>
        <v>40000</v>
      </c>
      <c r="C35" s="44">
        <f t="shared" ref="C35:K35" si="7">(1+C75)*40000</f>
        <v>40000</v>
      </c>
      <c r="D35" s="44">
        <f t="shared" si="7"/>
        <v>40000</v>
      </c>
      <c r="E35" s="44">
        <f t="shared" si="7"/>
        <v>40000</v>
      </c>
      <c r="F35" s="44">
        <f t="shared" si="7"/>
        <v>40000</v>
      </c>
      <c r="G35" s="44">
        <f t="shared" si="7"/>
        <v>40000</v>
      </c>
      <c r="H35" s="44">
        <f t="shared" si="7"/>
        <v>40000</v>
      </c>
      <c r="I35" s="44">
        <f t="shared" si="7"/>
        <v>40000</v>
      </c>
      <c r="J35" s="44">
        <f t="shared" si="7"/>
        <v>40000</v>
      </c>
      <c r="K35" s="44">
        <f t="shared" si="7"/>
        <v>40000</v>
      </c>
      <c r="L35" s="48"/>
      <c r="M35" s="13"/>
    </row>
    <row r="36" spans="1:13" x14ac:dyDescent="0.3">
      <c r="A36" s="58" t="s">
        <v>54</v>
      </c>
      <c r="B36" s="59">
        <f>B37+B38</f>
        <v>83900</v>
      </c>
      <c r="C36" s="59">
        <f t="shared" ref="C36:K36" si="8">C37+C38</f>
        <v>81729.208196361098</v>
      </c>
      <c r="D36" s="59">
        <f t="shared" si="8"/>
        <v>79319.629294321916</v>
      </c>
      <c r="E36" s="59">
        <f t="shared" si="8"/>
        <v>76644.996713058441</v>
      </c>
      <c r="F36" s="59">
        <f t="shared" si="8"/>
        <v>73676.154547855956</v>
      </c>
      <c r="G36" s="59">
        <f t="shared" si="8"/>
        <v>70380.739744481223</v>
      </c>
      <c r="H36" s="59">
        <f t="shared" si="8"/>
        <v>66722.829312735252</v>
      </c>
      <c r="I36" s="59">
        <f t="shared" si="8"/>
        <v>62662.548733497228</v>
      </c>
      <c r="J36" s="59">
        <f t="shared" si="8"/>
        <v>58155.637290543033</v>
      </c>
      <c r="K36" s="59">
        <f t="shared" si="8"/>
        <v>53152.965588863866</v>
      </c>
      <c r="L36" s="60"/>
      <c r="M36" s="13"/>
    </row>
    <row r="37" spans="1:13" x14ac:dyDescent="0.3">
      <c r="A37" s="27" t="s">
        <v>55</v>
      </c>
      <c r="B37" s="44">
        <v>47600</v>
      </c>
      <c r="C37" s="44">
        <v>47600</v>
      </c>
      <c r="D37" s="44">
        <v>47600</v>
      </c>
      <c r="E37" s="44">
        <v>47600</v>
      </c>
      <c r="F37" s="44">
        <v>47600</v>
      </c>
      <c r="G37" s="44">
        <v>47600</v>
      </c>
      <c r="H37" s="44">
        <v>47600</v>
      </c>
      <c r="I37" s="44">
        <v>47600</v>
      </c>
      <c r="J37" s="44">
        <v>47600</v>
      </c>
      <c r="K37" s="44">
        <v>47600</v>
      </c>
      <c r="L37" s="48"/>
      <c r="M37" s="13"/>
    </row>
    <row r="38" spans="1:13" x14ac:dyDescent="0.3">
      <c r="A38" s="27" t="s">
        <v>81</v>
      </c>
      <c r="B38" s="44">
        <f>'Flujo '!C122</f>
        <v>36300</v>
      </c>
      <c r="C38" s="44">
        <f>'Flujo '!D122</f>
        <v>34129.208196361098</v>
      </c>
      <c r="D38" s="44">
        <f>'Flujo '!E122</f>
        <v>31719.62929432192</v>
      </c>
      <c r="E38" s="44">
        <f>'Flujo '!F122</f>
        <v>29044.996713058434</v>
      </c>
      <c r="F38" s="44">
        <f>'Flujo '!G122</f>
        <v>26076.15454785596</v>
      </c>
      <c r="G38" s="44">
        <f>'Flujo '!H122</f>
        <v>22780.739744481216</v>
      </c>
      <c r="H38" s="44">
        <f>'Flujo '!I122</f>
        <v>19122.829312735252</v>
      </c>
      <c r="I38" s="44">
        <f>'Flujo '!J122</f>
        <v>15062.548733497231</v>
      </c>
      <c r="J38" s="44">
        <f>'Flujo '!K122</f>
        <v>10555.637290543029</v>
      </c>
      <c r="K38" s="44">
        <f>'Flujo '!L122</f>
        <v>5552.9655888638636</v>
      </c>
      <c r="L38" s="48"/>
      <c r="M38" s="13"/>
    </row>
    <row r="39" spans="1:13" x14ac:dyDescent="0.3">
      <c r="A39" s="58" t="s">
        <v>56</v>
      </c>
      <c r="B39" s="59">
        <f>B32-B33-B36</f>
        <v>35900</v>
      </c>
      <c r="C39" s="59">
        <f>'Flujo '!D123</f>
        <v>89870.791803638902</v>
      </c>
      <c r="D39" s="59">
        <f>'Flujo '!E123</f>
        <v>144080.37070567807</v>
      </c>
      <c r="E39" s="59">
        <f>'Flujo '!F123</f>
        <v>146755.00328694156</v>
      </c>
      <c r="F39" s="59">
        <f>'Flujo '!G123</f>
        <v>149723.84545214404</v>
      </c>
      <c r="G39" s="59">
        <f>'Flujo '!H123</f>
        <v>153019.26025551878</v>
      </c>
      <c r="H39" s="59">
        <f>'Flujo '!I123</f>
        <v>156677.17068726476</v>
      </c>
      <c r="I39" s="59">
        <f>'Flujo '!J123</f>
        <v>160737.45126650279</v>
      </c>
      <c r="J39" s="59">
        <f>'Flujo '!K123</f>
        <v>165244.36270945697</v>
      </c>
      <c r="K39" s="59">
        <f>'Flujo '!L123</f>
        <v>170247.03441113612</v>
      </c>
      <c r="L39" s="48"/>
      <c r="M39" s="13"/>
    </row>
    <row r="40" spans="1:13" x14ac:dyDescent="0.3">
      <c r="A40" s="27" t="s">
        <v>57</v>
      </c>
      <c r="B40" s="44">
        <f>0.22*B39</f>
        <v>7898</v>
      </c>
      <c r="C40" s="44">
        <f>'Flujo '!D124</f>
        <v>19771.574196800557</v>
      </c>
      <c r="D40" s="44">
        <f>'Flujo '!E124</f>
        <v>31697.681555249175</v>
      </c>
      <c r="E40" s="44">
        <f>'Flujo '!F124</f>
        <v>32286.100723127143</v>
      </c>
      <c r="F40" s="44">
        <f>'Flujo '!G124</f>
        <v>32939.245999471692</v>
      </c>
      <c r="G40" s="44">
        <f>'Flujo '!H124</f>
        <v>33664.237256214132</v>
      </c>
      <c r="H40" s="44">
        <f>'Flujo '!I124</f>
        <v>34468.977551198252</v>
      </c>
      <c r="I40" s="44">
        <f>'Flujo '!J124</f>
        <v>35362.239278630615</v>
      </c>
      <c r="J40" s="44">
        <f>'Flujo '!K124</f>
        <v>36353.759796080536</v>
      </c>
      <c r="K40" s="44">
        <f>'Flujo '!L124</f>
        <v>37454.347570449943</v>
      </c>
      <c r="L40" s="60"/>
      <c r="M40" s="13"/>
    </row>
    <row r="41" spans="1:13" ht="15" thickBot="1" x14ac:dyDescent="0.35">
      <c r="A41" s="65" t="s">
        <v>58</v>
      </c>
      <c r="B41" s="59">
        <f>B39-B40</f>
        <v>28002</v>
      </c>
      <c r="C41" s="59">
        <f>'Flujo '!D125</f>
        <v>70099.217606838341</v>
      </c>
      <c r="D41" s="59">
        <f>'Flujo '!E125</f>
        <v>112382.68915042889</v>
      </c>
      <c r="E41" s="59">
        <f>'Flujo '!F125</f>
        <v>114468.90256381442</v>
      </c>
      <c r="F41" s="59">
        <f>'Flujo '!G125</f>
        <v>116784.59945267235</v>
      </c>
      <c r="G41" s="59">
        <f>'Flujo '!H125</f>
        <v>119355.02299930464</v>
      </c>
      <c r="H41" s="59">
        <f>'Flujo '!I125</f>
        <v>122208.19313606652</v>
      </c>
      <c r="I41" s="59">
        <f>'Flujo '!J125</f>
        <v>125375.21198787217</v>
      </c>
      <c r="J41" s="59">
        <f>'Flujo '!K125</f>
        <v>128890.60291337644</v>
      </c>
      <c r="K41" s="59">
        <f>'Flujo '!L125</f>
        <v>132792.68684068619</v>
      </c>
      <c r="L41" s="12"/>
      <c r="M41" s="13"/>
    </row>
    <row r="42" spans="1:13" x14ac:dyDescent="0.3">
      <c r="A42" s="13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3"/>
    </row>
    <row r="43" spans="1:13" ht="18" thickBot="1" x14ac:dyDescent="0.35">
      <c r="A43" s="68" t="s">
        <v>82</v>
      </c>
    </row>
    <row r="44" spans="1:13" x14ac:dyDescent="0.3">
      <c r="A44" s="69" t="s">
        <v>20</v>
      </c>
      <c r="B44" s="70">
        <v>0</v>
      </c>
      <c r="C44" s="70">
        <v>1</v>
      </c>
      <c r="D44" s="70">
        <v>2</v>
      </c>
      <c r="E44" s="70">
        <v>3</v>
      </c>
      <c r="F44" s="70">
        <v>4</v>
      </c>
      <c r="G44" s="70">
        <v>5</v>
      </c>
      <c r="H44" s="70">
        <v>6</v>
      </c>
      <c r="I44" s="70">
        <v>7</v>
      </c>
      <c r="J44" s="70">
        <v>8</v>
      </c>
      <c r="K44" s="70">
        <v>9</v>
      </c>
      <c r="L44" s="71">
        <v>10</v>
      </c>
      <c r="M44" s="72"/>
    </row>
    <row r="45" spans="1:13" x14ac:dyDescent="0.3">
      <c r="A45" s="73" t="s">
        <v>60</v>
      </c>
      <c r="B45" s="74">
        <f>(1+B72)*(-B5)</f>
        <v>-470000</v>
      </c>
      <c r="C45" s="74">
        <f>'Flujo '!D129</f>
        <v>30000</v>
      </c>
      <c r="D45" s="74"/>
      <c r="E45" s="74"/>
      <c r="F45" s="74"/>
      <c r="G45" s="74"/>
      <c r="H45" s="74"/>
      <c r="I45" s="74"/>
      <c r="J45" s="74"/>
      <c r="K45" s="74"/>
      <c r="L45" s="74"/>
      <c r="M45" s="78"/>
    </row>
    <row r="46" spans="1:13" x14ac:dyDescent="0.3">
      <c r="A46" s="73" t="s">
        <v>61</v>
      </c>
      <c r="B46" s="74">
        <f>'Flujo '!C130</f>
        <v>0</v>
      </c>
      <c r="C46" s="74">
        <f>B32</f>
        <v>219800</v>
      </c>
      <c r="D46" s="74">
        <f t="shared" ref="D46:L47" si="9">C32</f>
        <v>231217.5686183747</v>
      </c>
      <c r="E46" s="74">
        <f t="shared" si="9"/>
        <v>287921.96077296836</v>
      </c>
      <c r="F46" s="74">
        <f t="shared" si="9"/>
        <v>287921.96077296836</v>
      </c>
      <c r="G46" s="74">
        <f t="shared" si="9"/>
        <v>287921.96077296836</v>
      </c>
      <c r="H46" s="74">
        <f t="shared" si="9"/>
        <v>287921.96077296836</v>
      </c>
      <c r="I46" s="74">
        <f t="shared" si="9"/>
        <v>287921.96077296836</v>
      </c>
      <c r="J46" s="74">
        <f t="shared" si="9"/>
        <v>287921.96077296836</v>
      </c>
      <c r="K46" s="74">
        <f t="shared" si="9"/>
        <v>287921.96077296836</v>
      </c>
      <c r="L46" s="74">
        <f t="shared" si="9"/>
        <v>287921.96077296836</v>
      </c>
      <c r="M46" s="80"/>
    </row>
    <row r="47" spans="1:13" x14ac:dyDescent="0.3">
      <c r="A47" s="73" t="s">
        <v>62</v>
      </c>
      <c r="B47" s="74">
        <f>'Flujo '!C131</f>
        <v>0</v>
      </c>
      <c r="C47" s="74">
        <f>B33</f>
        <v>100000</v>
      </c>
      <c r="D47" s="74">
        <f t="shared" si="9"/>
        <v>120000</v>
      </c>
      <c r="E47" s="74">
        <f t="shared" si="9"/>
        <v>140000</v>
      </c>
      <c r="F47" s="74">
        <f t="shared" si="9"/>
        <v>140000</v>
      </c>
      <c r="G47" s="74">
        <f t="shared" si="9"/>
        <v>140000</v>
      </c>
      <c r="H47" s="74">
        <f t="shared" si="9"/>
        <v>140000</v>
      </c>
      <c r="I47" s="74">
        <f t="shared" si="9"/>
        <v>140000</v>
      </c>
      <c r="J47" s="74">
        <f t="shared" si="9"/>
        <v>140000</v>
      </c>
      <c r="K47" s="74">
        <f t="shared" si="9"/>
        <v>140000</v>
      </c>
      <c r="L47" s="74">
        <f t="shared" si="9"/>
        <v>140000</v>
      </c>
      <c r="M47" s="80"/>
    </row>
    <row r="48" spans="1:13" x14ac:dyDescent="0.3">
      <c r="A48" s="73" t="s">
        <v>81</v>
      </c>
      <c r="B48" s="74">
        <f>'Flujo '!C132</f>
        <v>0</v>
      </c>
      <c r="C48" s="74">
        <f>B38</f>
        <v>36300</v>
      </c>
      <c r="D48" s="74">
        <f t="shared" ref="D48:L48" si="10">C38</f>
        <v>34129.208196361098</v>
      </c>
      <c r="E48" s="74">
        <f t="shared" si="10"/>
        <v>31719.62929432192</v>
      </c>
      <c r="F48" s="74">
        <f t="shared" si="10"/>
        <v>29044.996713058434</v>
      </c>
      <c r="G48" s="74">
        <f t="shared" si="10"/>
        <v>26076.15454785596</v>
      </c>
      <c r="H48" s="74">
        <f t="shared" si="10"/>
        <v>22780.739744481216</v>
      </c>
      <c r="I48" s="74">
        <f t="shared" si="10"/>
        <v>19122.829312735252</v>
      </c>
      <c r="J48" s="74">
        <f t="shared" si="10"/>
        <v>15062.548733497231</v>
      </c>
      <c r="K48" s="74">
        <f t="shared" si="10"/>
        <v>10555.637290543029</v>
      </c>
      <c r="L48" s="74">
        <f t="shared" si="10"/>
        <v>5552.9655888638636</v>
      </c>
      <c r="M48" s="80"/>
    </row>
    <row r="49" spans="1:13" x14ac:dyDescent="0.3">
      <c r="A49" s="73" t="s">
        <v>63</v>
      </c>
      <c r="B49" s="74">
        <f>'Flujo '!C133</f>
        <v>0</v>
      </c>
      <c r="C49" s="74">
        <f>B40</f>
        <v>7898</v>
      </c>
      <c r="D49" s="74">
        <f t="shared" ref="D49:L49" si="11">C40</f>
        <v>19771.574196800557</v>
      </c>
      <c r="E49" s="74">
        <f t="shared" si="11"/>
        <v>31697.681555249175</v>
      </c>
      <c r="F49" s="74">
        <f t="shared" si="11"/>
        <v>32286.100723127143</v>
      </c>
      <c r="G49" s="74">
        <f t="shared" si="11"/>
        <v>32939.245999471692</v>
      </c>
      <c r="H49" s="74">
        <f t="shared" si="11"/>
        <v>33664.237256214132</v>
      </c>
      <c r="I49" s="74">
        <f t="shared" si="11"/>
        <v>34468.977551198252</v>
      </c>
      <c r="J49" s="74">
        <f t="shared" si="11"/>
        <v>35362.239278630615</v>
      </c>
      <c r="K49" s="74">
        <f t="shared" si="11"/>
        <v>36353.759796080536</v>
      </c>
      <c r="L49" s="74">
        <f t="shared" si="11"/>
        <v>37454.347570449943</v>
      </c>
      <c r="M49" s="80"/>
    </row>
    <row r="50" spans="1:13" x14ac:dyDescent="0.3">
      <c r="A50" s="73" t="s">
        <v>64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>
        <f>'Flujo '!M134</f>
        <v>84000</v>
      </c>
      <c r="M50" s="81"/>
    </row>
    <row r="51" spans="1:13" x14ac:dyDescent="0.3">
      <c r="A51" s="116" t="s">
        <v>83</v>
      </c>
      <c r="B51" s="74">
        <f>B6</f>
        <v>330000</v>
      </c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117"/>
    </row>
    <row r="52" spans="1:13" x14ac:dyDescent="0.3">
      <c r="A52" s="116" t="s">
        <v>79</v>
      </c>
      <c r="B52" s="74">
        <f>'Flujo '!C136</f>
        <v>0</v>
      </c>
      <c r="C52" s="74">
        <f>E13</f>
        <v>19734.470942171807</v>
      </c>
      <c r="D52" s="74">
        <f>E14</f>
        <v>21905.262745810709</v>
      </c>
      <c r="E52" s="74">
        <f>E15</f>
        <v>24314.841647849888</v>
      </c>
      <c r="F52" s="74">
        <f>E16</f>
        <v>26989.474229113373</v>
      </c>
      <c r="G52" s="74">
        <f>E17</f>
        <v>29958.316394315847</v>
      </c>
      <c r="H52" s="74">
        <f>E18</f>
        <v>33253.731197690591</v>
      </c>
      <c r="I52" s="74">
        <f>E19</f>
        <v>36911.641629436555</v>
      </c>
      <c r="J52" s="74">
        <f>E20</f>
        <v>40971.922208674572</v>
      </c>
      <c r="K52" s="74">
        <f>E21</f>
        <v>45478.833651628782</v>
      </c>
      <c r="L52" s="74">
        <f>E22</f>
        <v>50481.505353307941</v>
      </c>
      <c r="M52" s="117"/>
    </row>
    <row r="53" spans="1:13" ht="15" thickBot="1" x14ac:dyDescent="0.35">
      <c r="A53" s="82" t="s">
        <v>65</v>
      </c>
      <c r="B53" s="74">
        <f>B46+B45-B47-B48-B49+B50+B51-B52</f>
        <v>-140000</v>
      </c>
      <c r="C53" s="74">
        <f>C46-C45-C47-C48-C49+C50-C52</f>
        <v>25867.529057828193</v>
      </c>
      <c r="D53" s="74">
        <f t="shared" ref="D53:L53" si="12">D46-D45-D47-D48-D49+D50-D52</f>
        <v>35411.523479402334</v>
      </c>
      <c r="E53" s="74">
        <f t="shared" si="12"/>
        <v>60189.808275547388</v>
      </c>
      <c r="F53" s="74">
        <f t="shared" si="12"/>
        <v>59601.389107669413</v>
      </c>
      <c r="G53" s="74">
        <f t="shared" si="12"/>
        <v>58948.243831324871</v>
      </c>
      <c r="H53" s="74">
        <f t="shared" si="12"/>
        <v>58223.25257458241</v>
      </c>
      <c r="I53" s="74">
        <f t="shared" si="12"/>
        <v>57418.512279598297</v>
      </c>
      <c r="J53" s="74">
        <f t="shared" si="12"/>
        <v>56525.250552165933</v>
      </c>
      <c r="K53" s="74">
        <f t="shared" si="12"/>
        <v>55533.73003471602</v>
      </c>
      <c r="L53" s="74">
        <f t="shared" si="12"/>
        <v>138433.14226034662</v>
      </c>
      <c r="M53" s="84"/>
    </row>
    <row r="54" spans="1:13" x14ac:dyDescent="0.3"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</row>
    <row r="55" spans="1:13" x14ac:dyDescent="0.3"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</row>
    <row r="56" spans="1:13" ht="15" thickBot="1" x14ac:dyDescent="0.35">
      <c r="A56" s="93" t="s">
        <v>129</v>
      </c>
      <c r="B56" s="118"/>
      <c r="C56" s="118"/>
      <c r="D56" s="118"/>
      <c r="E56" s="174" t="s">
        <v>130</v>
      </c>
      <c r="F56" s="118"/>
      <c r="G56" s="118"/>
      <c r="H56" s="118"/>
      <c r="I56" s="118"/>
      <c r="J56" s="118"/>
      <c r="K56" s="118"/>
      <c r="L56" s="118"/>
    </row>
    <row r="57" spans="1:13" ht="15.6" x14ac:dyDescent="0.3">
      <c r="A57" s="159" t="s">
        <v>66</v>
      </c>
      <c r="B57" s="177">
        <f>NPV(B58, C53:L53)+B53</f>
        <v>142994.02302883501</v>
      </c>
      <c r="C57" s="118"/>
      <c r="D57" s="118"/>
      <c r="E57" s="175" t="s">
        <v>60</v>
      </c>
      <c r="F57" s="166">
        <f>-+B45</f>
        <v>470000</v>
      </c>
      <c r="G57" s="118"/>
      <c r="H57" s="118"/>
      <c r="I57" s="118"/>
      <c r="J57" s="118"/>
      <c r="K57" s="118"/>
      <c r="L57" s="118"/>
    </row>
    <row r="58" spans="1:13" ht="15.6" x14ac:dyDescent="0.3">
      <c r="A58" s="153" t="s">
        <v>99</v>
      </c>
      <c r="B58" s="161">
        <f>+F64</f>
        <v>0.1378723404255319</v>
      </c>
      <c r="C58" s="118"/>
      <c r="E58" s="176" t="s">
        <v>84</v>
      </c>
      <c r="F58" s="168">
        <f>+B51</f>
        <v>330000</v>
      </c>
      <c r="G58" s="118"/>
      <c r="H58" s="118"/>
      <c r="I58" s="118"/>
      <c r="J58" s="118"/>
      <c r="K58" s="118"/>
      <c r="L58" s="118"/>
    </row>
    <row r="59" spans="1:13" ht="15.6" x14ac:dyDescent="0.3">
      <c r="A59" s="153" t="s">
        <v>67</v>
      </c>
      <c r="B59" s="162">
        <f>IRR(B53:M53, 17%)</f>
        <v>0.31772992257724941</v>
      </c>
      <c r="C59" s="118"/>
      <c r="E59" s="176" t="s">
        <v>85</v>
      </c>
      <c r="F59" s="168">
        <f>+F57-F58</f>
        <v>140000</v>
      </c>
      <c r="G59" s="118"/>
      <c r="H59" s="118"/>
      <c r="I59" s="118"/>
      <c r="J59" s="118"/>
      <c r="K59" s="118"/>
      <c r="L59" s="118"/>
    </row>
    <row r="60" spans="1:13" ht="15.6" x14ac:dyDescent="0.3">
      <c r="A60" s="160" t="s">
        <v>60</v>
      </c>
      <c r="B60" s="163">
        <f>+-B45</f>
        <v>470000</v>
      </c>
      <c r="C60" s="118"/>
      <c r="E60" s="176" t="s">
        <v>93</v>
      </c>
      <c r="F60" s="169">
        <f>+F58/F57</f>
        <v>0.7021276595744681</v>
      </c>
      <c r="G60" s="118"/>
      <c r="H60" s="118"/>
      <c r="I60" s="118"/>
      <c r="J60" s="118"/>
      <c r="K60" s="118"/>
      <c r="L60" s="118"/>
    </row>
    <row r="61" spans="1:13" ht="15.6" x14ac:dyDescent="0.3">
      <c r="A61" s="153"/>
      <c r="B61" s="164"/>
      <c r="C61" s="118"/>
      <c r="E61" s="176" t="s">
        <v>94</v>
      </c>
      <c r="F61" s="169">
        <f>+F59/F57</f>
        <v>0.2978723404255319</v>
      </c>
      <c r="G61" s="118"/>
      <c r="H61" s="118"/>
      <c r="I61" s="118"/>
      <c r="J61" s="118"/>
      <c r="K61" s="118"/>
      <c r="L61" s="118"/>
    </row>
    <row r="62" spans="1:13" ht="15.6" x14ac:dyDescent="0.3">
      <c r="A62" s="153" t="s">
        <v>102</v>
      </c>
      <c r="B62" s="164">
        <f>+B57/B60</f>
        <v>0.30424260218901067</v>
      </c>
      <c r="E62" s="176" t="s">
        <v>95</v>
      </c>
      <c r="F62" s="170">
        <v>0.12</v>
      </c>
    </row>
    <row r="63" spans="1:13" ht="15.6" x14ac:dyDescent="0.3">
      <c r="A63" s="153" t="s">
        <v>89</v>
      </c>
      <c r="B63" s="163">
        <f>NPV(B58,C53:L53)</f>
        <v>282994.02302883501</v>
      </c>
      <c r="C63" s="118"/>
      <c r="E63" s="176" t="s">
        <v>96</v>
      </c>
      <c r="F63" s="170">
        <v>0.18</v>
      </c>
      <c r="G63" s="118"/>
      <c r="H63" s="118"/>
      <c r="I63" s="118"/>
      <c r="J63" s="118"/>
      <c r="K63" s="118"/>
      <c r="L63" s="118"/>
    </row>
    <row r="64" spans="1:13" ht="15.6" x14ac:dyDescent="0.3">
      <c r="A64" s="153" t="s">
        <v>90</v>
      </c>
      <c r="B64" s="163">
        <f>-+B53</f>
        <v>140000</v>
      </c>
      <c r="E64" s="176" t="s">
        <v>100</v>
      </c>
      <c r="F64" s="171">
        <f>+(F60*F62)+(F61*F63)</f>
        <v>0.1378723404255319</v>
      </c>
      <c r="G64" s="119"/>
    </row>
    <row r="65" spans="1:10" ht="15.6" thickBot="1" x14ac:dyDescent="0.35">
      <c r="A65" s="154" t="s">
        <v>103</v>
      </c>
      <c r="B65" s="165">
        <f>+B63/B64</f>
        <v>2.0213858787773931</v>
      </c>
      <c r="E65" s="167"/>
      <c r="F65" s="170"/>
      <c r="G65" s="119"/>
      <c r="J65" s="119"/>
    </row>
    <row r="68" spans="1:10" ht="15.6" x14ac:dyDescent="0.3">
      <c r="A68" s="181" t="s">
        <v>104</v>
      </c>
    </row>
    <row r="69" spans="1:10" ht="15.6" x14ac:dyDescent="0.3">
      <c r="A69" s="181"/>
    </row>
    <row r="70" spans="1:10" x14ac:dyDescent="0.3">
      <c r="A70" s="206" t="s">
        <v>131</v>
      </c>
      <c r="B70" s="206"/>
      <c r="C70" s="206"/>
    </row>
    <row r="71" spans="1:10" x14ac:dyDescent="0.3">
      <c r="A71" s="188" t="s">
        <v>121</v>
      </c>
      <c r="B71" s="187" t="s">
        <v>108</v>
      </c>
      <c r="C71" s="187" t="s">
        <v>101</v>
      </c>
    </row>
    <row r="72" spans="1:10" x14ac:dyDescent="0.3">
      <c r="A72" s="182" t="s">
        <v>105</v>
      </c>
      <c r="B72" s="185">
        <v>0</v>
      </c>
      <c r="C72" s="208">
        <f>B57</f>
        <v>142994.02302883501</v>
      </c>
    </row>
    <row r="73" spans="1:10" x14ac:dyDescent="0.3">
      <c r="A73" s="182" t="s">
        <v>106</v>
      </c>
      <c r="B73" s="185">
        <v>0</v>
      </c>
      <c r="C73" s="209"/>
    </row>
    <row r="74" spans="1:10" x14ac:dyDescent="0.3">
      <c r="A74" s="182" t="s">
        <v>113</v>
      </c>
      <c r="B74" s="185">
        <v>0</v>
      </c>
      <c r="C74" s="209"/>
    </row>
    <row r="75" spans="1:10" x14ac:dyDescent="0.3">
      <c r="A75" s="182" t="s">
        <v>114</v>
      </c>
      <c r="B75" s="185">
        <v>0</v>
      </c>
      <c r="C75" s="209"/>
    </row>
    <row r="76" spans="1:10" x14ac:dyDescent="0.3">
      <c r="A76" s="182" t="s">
        <v>107</v>
      </c>
      <c r="B76" s="185">
        <v>0</v>
      </c>
      <c r="C76" s="210"/>
    </row>
    <row r="77" spans="1:10" x14ac:dyDescent="0.3">
      <c r="F77" s="206" t="s">
        <v>133</v>
      </c>
      <c r="G77" s="206"/>
      <c r="H77" s="206"/>
    </row>
    <row r="78" spans="1:10" x14ac:dyDescent="0.3">
      <c r="A78" s="206" t="s">
        <v>132</v>
      </c>
      <c r="B78" s="206"/>
      <c r="C78" s="206"/>
      <c r="F78" s="207" t="s">
        <v>101</v>
      </c>
      <c r="G78" s="207"/>
      <c r="H78" s="207"/>
    </row>
    <row r="79" spans="1:10" x14ac:dyDescent="0.3">
      <c r="A79" s="188" t="s">
        <v>121</v>
      </c>
      <c r="B79" s="183" t="s">
        <v>109</v>
      </c>
      <c r="C79" s="183">
        <v>0</v>
      </c>
      <c r="D79" s="183" t="s">
        <v>112</v>
      </c>
      <c r="E79" s="179"/>
      <c r="F79" s="183" t="s">
        <v>115</v>
      </c>
      <c r="G79" s="183" t="s">
        <v>116</v>
      </c>
      <c r="H79" s="189" t="s">
        <v>117</v>
      </c>
    </row>
    <row r="80" spans="1:10" x14ac:dyDescent="0.3">
      <c r="A80" s="182" t="s">
        <v>105</v>
      </c>
      <c r="B80" s="186">
        <v>245942</v>
      </c>
      <c r="C80" s="186">
        <v>142994</v>
      </c>
      <c r="D80" s="186">
        <v>34781</v>
      </c>
      <c r="E80" s="191" t="s">
        <v>60</v>
      </c>
      <c r="F80" s="190">
        <f>(B80-C80)/C80</f>
        <v>0.71994629145278821</v>
      </c>
      <c r="G80" s="190">
        <f>(D80-C80)/C80</f>
        <v>-0.75676601815460787</v>
      </c>
      <c r="H80" s="184" t="s">
        <v>118</v>
      </c>
    </row>
    <row r="81" spans="1:8" x14ac:dyDescent="0.3">
      <c r="A81" s="182" t="s">
        <v>106</v>
      </c>
      <c r="B81" s="186">
        <v>127927</v>
      </c>
      <c r="C81" s="186">
        <v>142994</v>
      </c>
      <c r="D81" s="186">
        <v>158061</v>
      </c>
      <c r="E81" s="191" t="s">
        <v>61</v>
      </c>
      <c r="F81" s="190">
        <f t="shared" ref="F81:F84" si="13">(B81-C81)/C81</f>
        <v>-0.10536805740100984</v>
      </c>
      <c r="G81" s="190">
        <f t="shared" ref="G81:G84" si="14">(D81-C81)/C81</f>
        <v>0.10536805740100984</v>
      </c>
      <c r="H81" s="184" t="s">
        <v>119</v>
      </c>
    </row>
    <row r="82" spans="1:8" x14ac:dyDescent="0.3">
      <c r="A82" s="182" t="s">
        <v>113</v>
      </c>
      <c r="B82" s="186">
        <v>160073</v>
      </c>
      <c r="C82" s="186">
        <v>142994</v>
      </c>
      <c r="D82" s="186">
        <v>125915</v>
      </c>
      <c r="E82" s="191" t="s">
        <v>52</v>
      </c>
      <c r="F82" s="190">
        <f t="shared" si="13"/>
        <v>0.11943857784242695</v>
      </c>
      <c r="G82" s="190">
        <f t="shared" si="14"/>
        <v>-0.11943857784242695</v>
      </c>
      <c r="H82" s="184" t="s">
        <v>119</v>
      </c>
    </row>
    <row r="83" spans="1:8" x14ac:dyDescent="0.3">
      <c r="A83" s="182" t="s">
        <v>114</v>
      </c>
      <c r="B83" s="186">
        <v>145736</v>
      </c>
      <c r="C83" s="186">
        <v>142994</v>
      </c>
      <c r="D83" s="186">
        <v>140252</v>
      </c>
      <c r="E83" s="191" t="s">
        <v>122</v>
      </c>
      <c r="F83" s="190">
        <f t="shared" si="13"/>
        <v>1.9175629746702658E-2</v>
      </c>
      <c r="G83" s="190">
        <f t="shared" si="14"/>
        <v>-1.9175629746702658E-2</v>
      </c>
      <c r="H83" s="184" t="s">
        <v>120</v>
      </c>
    </row>
    <row r="84" spans="1:8" x14ac:dyDescent="0.3">
      <c r="A84" s="182" t="s">
        <v>107</v>
      </c>
      <c r="B84" s="186">
        <v>141356</v>
      </c>
      <c r="C84" s="186">
        <v>142994</v>
      </c>
      <c r="D84" s="186">
        <v>144593</v>
      </c>
      <c r="E84" s="191" t="s">
        <v>123</v>
      </c>
      <c r="F84" s="190">
        <f t="shared" si="13"/>
        <v>-1.1455026085010559E-2</v>
      </c>
      <c r="G84" s="190">
        <f t="shared" si="14"/>
        <v>1.1182287368700784E-2</v>
      </c>
      <c r="H84" s="184" t="s">
        <v>120</v>
      </c>
    </row>
    <row r="87" spans="1:8" x14ac:dyDescent="0.3">
      <c r="A87" s="206" t="s">
        <v>124</v>
      </c>
      <c r="B87" s="206"/>
      <c r="C87" s="206"/>
      <c r="D87" s="206"/>
      <c r="F87" s="207" t="s">
        <v>101</v>
      </c>
      <c r="G87" s="207"/>
      <c r="H87" s="207"/>
    </row>
    <row r="88" spans="1:8" x14ac:dyDescent="0.3">
      <c r="A88" s="188" t="s">
        <v>121</v>
      </c>
      <c r="B88" s="183" t="s">
        <v>110</v>
      </c>
      <c r="C88" s="183">
        <v>0</v>
      </c>
      <c r="D88" s="183" t="s">
        <v>111</v>
      </c>
      <c r="E88" s="179"/>
      <c r="F88" s="183" t="s">
        <v>115</v>
      </c>
      <c r="G88" s="183" t="s">
        <v>116</v>
      </c>
      <c r="H88" s="189" t="s">
        <v>117</v>
      </c>
    </row>
    <row r="89" spans="1:8" x14ac:dyDescent="0.3">
      <c r="A89" s="182" t="s">
        <v>105</v>
      </c>
      <c r="B89" s="186"/>
      <c r="C89" s="186">
        <v>142994</v>
      </c>
      <c r="D89" s="186"/>
      <c r="E89" s="191" t="s">
        <v>60</v>
      </c>
      <c r="F89" s="190">
        <f>(B89-C89)/C89</f>
        <v>-1</v>
      </c>
      <c r="G89" s="190">
        <f>(D89-C89)/C89</f>
        <v>-1</v>
      </c>
      <c r="H89" s="184" t="s">
        <v>118</v>
      </c>
    </row>
    <row r="90" spans="1:8" x14ac:dyDescent="0.3">
      <c r="A90" s="182" t="s">
        <v>106</v>
      </c>
      <c r="B90" s="186"/>
      <c r="C90" s="186">
        <v>142994</v>
      </c>
      <c r="D90" s="186"/>
      <c r="E90" s="191" t="s">
        <v>61</v>
      </c>
      <c r="F90" s="190">
        <f t="shared" ref="F90:F93" si="15">(B90-C90)/C90</f>
        <v>-1</v>
      </c>
      <c r="G90" s="190">
        <f t="shared" ref="G90:G93" si="16">(D90-C90)/C90</f>
        <v>-1</v>
      </c>
      <c r="H90" s="184" t="s">
        <v>119</v>
      </c>
    </row>
    <row r="91" spans="1:8" x14ac:dyDescent="0.3">
      <c r="A91" s="182" t="s">
        <v>113</v>
      </c>
      <c r="B91" s="186"/>
      <c r="C91" s="186">
        <v>142994</v>
      </c>
      <c r="D91" s="186"/>
      <c r="E91" s="191" t="s">
        <v>52</v>
      </c>
      <c r="F91" s="190">
        <f t="shared" si="15"/>
        <v>-1</v>
      </c>
      <c r="G91" s="190">
        <f t="shared" si="16"/>
        <v>-1</v>
      </c>
      <c r="H91" s="184" t="s">
        <v>119</v>
      </c>
    </row>
    <row r="92" spans="1:8" x14ac:dyDescent="0.3">
      <c r="A92" s="182" t="s">
        <v>114</v>
      </c>
      <c r="B92" s="186"/>
      <c r="C92" s="186">
        <v>142994</v>
      </c>
      <c r="D92" s="186"/>
      <c r="E92" s="191" t="s">
        <v>122</v>
      </c>
      <c r="F92" s="190">
        <f t="shared" si="15"/>
        <v>-1</v>
      </c>
      <c r="G92" s="190">
        <f t="shared" si="16"/>
        <v>-1</v>
      </c>
      <c r="H92" s="184" t="s">
        <v>120</v>
      </c>
    </row>
    <row r="93" spans="1:8" x14ac:dyDescent="0.3">
      <c r="A93" s="182" t="s">
        <v>107</v>
      </c>
      <c r="B93" s="186"/>
      <c r="C93" s="186">
        <v>142994</v>
      </c>
      <c r="D93" s="186"/>
      <c r="E93" s="191" t="s">
        <v>123</v>
      </c>
      <c r="F93" s="190">
        <f t="shared" si="15"/>
        <v>-1</v>
      </c>
      <c r="G93" s="190">
        <f t="shared" si="16"/>
        <v>-1</v>
      </c>
      <c r="H93" s="184" t="s">
        <v>120</v>
      </c>
    </row>
    <row r="95" spans="1:8" x14ac:dyDescent="0.3">
      <c r="A95" s="180" t="s">
        <v>125</v>
      </c>
    </row>
    <row r="96" spans="1:8" x14ac:dyDescent="0.3">
      <c r="A96" s="205" t="s">
        <v>134</v>
      </c>
      <c r="B96" s="205"/>
      <c r="C96" s="205"/>
      <c r="D96" s="205"/>
      <c r="E96" s="205"/>
      <c r="F96" s="205"/>
      <c r="G96" s="205"/>
      <c r="H96" s="205"/>
    </row>
    <row r="97" spans="1:8" ht="50.25" customHeight="1" x14ac:dyDescent="0.3">
      <c r="A97" s="204" t="s">
        <v>135</v>
      </c>
      <c r="B97" s="204"/>
      <c r="C97" s="204"/>
      <c r="D97" s="204"/>
      <c r="E97" s="204"/>
      <c r="F97" s="204"/>
      <c r="G97" s="204"/>
      <c r="H97" s="204"/>
    </row>
    <row r="98" spans="1:8" ht="29.25" customHeight="1" x14ac:dyDescent="0.3">
      <c r="A98" s="204" t="s">
        <v>137</v>
      </c>
      <c r="B98" s="204"/>
      <c r="C98" s="204"/>
      <c r="D98" s="204"/>
      <c r="E98" s="204"/>
      <c r="F98" s="204"/>
      <c r="G98" s="204"/>
      <c r="H98" s="204"/>
    </row>
    <row r="99" spans="1:8" x14ac:dyDescent="0.3">
      <c r="A99" t="s">
        <v>136</v>
      </c>
    </row>
    <row r="100" spans="1:8" x14ac:dyDescent="0.3">
      <c r="A100" t="s">
        <v>126</v>
      </c>
    </row>
    <row r="101" spans="1:8" ht="28.5" customHeight="1" x14ac:dyDescent="0.3">
      <c r="A101" s="204" t="s">
        <v>127</v>
      </c>
      <c r="B101" s="204"/>
      <c r="C101" s="204"/>
      <c r="D101" s="204"/>
      <c r="E101" s="204"/>
      <c r="F101" s="204"/>
      <c r="G101" s="204"/>
      <c r="H101" s="204"/>
    </row>
    <row r="103" spans="1:8" x14ac:dyDescent="0.3">
      <c r="A103" s="205" t="s">
        <v>128</v>
      </c>
      <c r="B103" s="205"/>
      <c r="C103" s="205"/>
      <c r="D103" s="205"/>
      <c r="E103" s="205"/>
      <c r="F103" s="205"/>
      <c r="G103" s="205"/>
      <c r="H103" s="205"/>
    </row>
  </sheetData>
  <mergeCells count="12">
    <mergeCell ref="A101:H101"/>
    <mergeCell ref="A103:H103"/>
    <mergeCell ref="A70:C70"/>
    <mergeCell ref="A78:C78"/>
    <mergeCell ref="F77:H77"/>
    <mergeCell ref="F78:H78"/>
    <mergeCell ref="C72:C76"/>
    <mergeCell ref="F87:H87"/>
    <mergeCell ref="A87:D87"/>
    <mergeCell ref="A97:H97"/>
    <mergeCell ref="A98:H98"/>
    <mergeCell ref="A96:H9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Flujo </vt:lpstr>
      <vt:lpstr>Análisis Sensibilidad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Velasquez</dc:creator>
  <cp:lastModifiedBy>Ramiro Fonseca</cp:lastModifiedBy>
  <dcterms:created xsi:type="dcterms:W3CDTF">2013-01-19T16:31:04Z</dcterms:created>
  <dcterms:modified xsi:type="dcterms:W3CDTF">2013-05-24T00:56:52Z</dcterms:modified>
</cp:coreProperties>
</file>