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20115" windowHeight="7425"/>
  </bookViews>
  <sheets>
    <sheet name="Flujo " sheetId="1" r:id="rId1"/>
    <sheet name="Análisis Sensibilidad" sheetId="4" state="hidden" r:id="rId2"/>
  </sheets>
  <calcPr calcId="145621"/>
</workbook>
</file>

<file path=xl/calcChain.xml><?xml version="1.0" encoding="utf-8"?>
<calcChain xmlns="http://schemas.openxmlformats.org/spreadsheetml/2006/main">
  <c r="C32" i="1" l="1"/>
  <c r="G95" i="1" l="1"/>
  <c r="H95" i="1"/>
  <c r="I95" i="1"/>
  <c r="J95" i="1"/>
  <c r="K95" i="1"/>
  <c r="L95" i="1"/>
  <c r="M95" i="1"/>
  <c r="F95" i="1"/>
  <c r="E95" i="1"/>
  <c r="D95" i="1"/>
  <c r="G93" i="4" l="1"/>
  <c r="F93" i="4"/>
  <c r="G92" i="4"/>
  <c r="F92" i="4"/>
  <c r="G91" i="4"/>
  <c r="F91" i="4"/>
  <c r="G90" i="4"/>
  <c r="F90" i="4"/>
  <c r="G89" i="4"/>
  <c r="F89" i="4"/>
  <c r="G81" i="4"/>
  <c r="G82" i="4"/>
  <c r="G83" i="4"/>
  <c r="G84" i="4"/>
  <c r="G80" i="4"/>
  <c r="F81" i="4"/>
  <c r="F82" i="4"/>
  <c r="F83" i="4"/>
  <c r="F84" i="4"/>
  <c r="F80" i="4"/>
  <c r="B7" i="4"/>
  <c r="D13" i="4" s="1"/>
  <c r="C35" i="4"/>
  <c r="D35" i="4"/>
  <c r="E35" i="4"/>
  <c r="F35" i="4"/>
  <c r="F33" i="4" s="1"/>
  <c r="G47" i="4" s="1"/>
  <c r="G35" i="4"/>
  <c r="H35" i="4"/>
  <c r="H33" i="4" s="1"/>
  <c r="I47" i="4" s="1"/>
  <c r="I35" i="4"/>
  <c r="J35" i="4"/>
  <c r="J33" i="4" s="1"/>
  <c r="K47" i="4" s="1"/>
  <c r="K35" i="4"/>
  <c r="B35" i="4"/>
  <c r="E34" i="4"/>
  <c r="F34" i="4"/>
  <c r="G34" i="4"/>
  <c r="H34" i="4"/>
  <c r="I34" i="4"/>
  <c r="J34" i="4"/>
  <c r="K34" i="4"/>
  <c r="D34" i="4"/>
  <c r="C34" i="4"/>
  <c r="B34" i="4"/>
  <c r="D32" i="4"/>
  <c r="E32" i="4"/>
  <c r="F32" i="4"/>
  <c r="G32" i="4"/>
  <c r="H32" i="4"/>
  <c r="I32" i="4"/>
  <c r="J32" i="4"/>
  <c r="K32" i="4"/>
  <c r="B32" i="4"/>
  <c r="E46" i="4"/>
  <c r="F46" i="4"/>
  <c r="G46" i="4"/>
  <c r="H46" i="4"/>
  <c r="I46" i="4"/>
  <c r="J46" i="4"/>
  <c r="K46" i="4"/>
  <c r="L46" i="4"/>
  <c r="B51" i="4"/>
  <c r="F58" i="4" s="1"/>
  <c r="E33" i="4"/>
  <c r="F47" i="4" s="1"/>
  <c r="G33" i="4"/>
  <c r="H47" i="4" s="1"/>
  <c r="I33" i="4"/>
  <c r="J47" i="4" s="1"/>
  <c r="K33" i="4"/>
  <c r="L47" i="4" s="1"/>
  <c r="B5" i="4"/>
  <c r="B45" i="4" s="1"/>
  <c r="B46" i="4"/>
  <c r="B47" i="4"/>
  <c r="B48" i="4"/>
  <c r="B49" i="4"/>
  <c r="B52" i="4"/>
  <c r="B9" i="4" l="1"/>
  <c r="C15" i="4" s="1"/>
  <c r="C33" i="4"/>
  <c r="D47" i="4" s="1"/>
  <c r="D33" i="4"/>
  <c r="E47" i="4" s="1"/>
  <c r="B33" i="4"/>
  <c r="C47" i="4" s="1"/>
  <c r="C46" i="4"/>
  <c r="B53" i="4"/>
  <c r="F57" i="4"/>
  <c r="F59" i="4" s="1"/>
  <c r="F61" i="4" s="1"/>
  <c r="B60" i="4"/>
  <c r="F60" i="4" l="1"/>
  <c r="F64" i="4" s="1"/>
  <c r="B58" i="4" s="1"/>
  <c r="C17" i="4"/>
  <c r="C21" i="4"/>
  <c r="C14" i="4"/>
  <c r="C18" i="4"/>
  <c r="C22" i="4"/>
  <c r="C19" i="4"/>
  <c r="C13" i="4"/>
  <c r="E13" i="4" s="1"/>
  <c r="C52" i="4" s="1"/>
  <c r="C16" i="4"/>
  <c r="C20" i="4"/>
  <c r="B14" i="4"/>
  <c r="B64" i="4"/>
  <c r="D14" i="4" l="1"/>
  <c r="E14" i="4" s="1"/>
  <c r="D52" i="4" s="1"/>
  <c r="B15" i="4" l="1"/>
  <c r="D15" i="4" l="1"/>
  <c r="E15" i="4" s="1"/>
  <c r="E52" i="4" s="1"/>
  <c r="L144" i="1"/>
  <c r="K144" i="1"/>
  <c r="J144" i="1"/>
  <c r="I144" i="1"/>
  <c r="H144" i="1"/>
  <c r="G144" i="1"/>
  <c r="F144" i="1"/>
  <c r="E144" i="1"/>
  <c r="D144" i="1"/>
  <c r="C144" i="1"/>
  <c r="E124" i="1"/>
  <c r="M158" i="1"/>
  <c r="L158" i="1"/>
  <c r="K158" i="1"/>
  <c r="J158" i="1"/>
  <c r="I158" i="1"/>
  <c r="H158" i="1"/>
  <c r="G158" i="1"/>
  <c r="F158" i="1"/>
  <c r="E158" i="1"/>
  <c r="D158" i="1"/>
  <c r="D66" i="1"/>
  <c r="C66" i="1"/>
  <c r="D65" i="1"/>
  <c r="C65" i="1"/>
  <c r="E65" i="1" s="1"/>
  <c r="D64" i="1"/>
  <c r="C64" i="1"/>
  <c r="E64" i="1" s="1"/>
  <c r="D63" i="1"/>
  <c r="C63" i="1"/>
  <c r="L52" i="1"/>
  <c r="L84" i="1" s="1"/>
  <c r="L146" i="1" s="1"/>
  <c r="K52" i="1"/>
  <c r="K84" i="1" s="1"/>
  <c r="K146" i="1" s="1"/>
  <c r="J52" i="1"/>
  <c r="J84" i="1" s="1"/>
  <c r="J146" i="1" s="1"/>
  <c r="I52" i="1"/>
  <c r="I84" i="1" s="1"/>
  <c r="I146" i="1" s="1"/>
  <c r="H52" i="1"/>
  <c r="H84" i="1" s="1"/>
  <c r="H146" i="1" s="1"/>
  <c r="G52" i="1"/>
  <c r="G84" i="1" s="1"/>
  <c r="G146" i="1" s="1"/>
  <c r="F52" i="1"/>
  <c r="F84" i="1" s="1"/>
  <c r="F146" i="1" s="1"/>
  <c r="E52" i="1"/>
  <c r="E84" i="1" s="1"/>
  <c r="E146" i="1" s="1"/>
  <c r="D52" i="1"/>
  <c r="D84" i="1" s="1"/>
  <c r="D146" i="1" s="1"/>
  <c r="C52" i="1"/>
  <c r="C84" i="1" s="1"/>
  <c r="C146" i="1" s="1"/>
  <c r="L49" i="1"/>
  <c r="L50" i="1" s="1"/>
  <c r="L77" i="1" s="1"/>
  <c r="K49" i="1"/>
  <c r="K51" i="1" s="1"/>
  <c r="J49" i="1"/>
  <c r="J51" i="1" s="1"/>
  <c r="I49" i="1"/>
  <c r="I51" i="1" s="1"/>
  <c r="H49" i="1"/>
  <c r="H50" i="1" s="1"/>
  <c r="H77" i="1" s="1"/>
  <c r="G49" i="1"/>
  <c r="G51" i="1" s="1"/>
  <c r="F49" i="1"/>
  <c r="F51" i="1" s="1"/>
  <c r="E49" i="1"/>
  <c r="E51" i="1" s="1"/>
  <c r="D49" i="1"/>
  <c r="D50" i="1" s="1"/>
  <c r="D77" i="1" s="1"/>
  <c r="C49" i="1"/>
  <c r="C51" i="1" s="1"/>
  <c r="C83" i="1" s="1"/>
  <c r="C79" i="1" s="1"/>
  <c r="C149" i="1" l="1"/>
  <c r="D164" i="1"/>
  <c r="E66" i="1"/>
  <c r="E72" i="1"/>
  <c r="F72" i="1" s="1"/>
  <c r="D139" i="1"/>
  <c r="D80" i="1"/>
  <c r="D142" i="1" s="1"/>
  <c r="D78" i="1"/>
  <c r="F83" i="1"/>
  <c r="H139" i="1"/>
  <c r="H80" i="1"/>
  <c r="H142" i="1" s="1"/>
  <c r="H78" i="1"/>
  <c r="J83" i="1"/>
  <c r="L139" i="1"/>
  <c r="L80" i="1"/>
  <c r="L142" i="1" s="1"/>
  <c r="L78" i="1"/>
  <c r="C115" i="1"/>
  <c r="C117" i="1" s="1"/>
  <c r="C92" i="1"/>
  <c r="C104" i="1" s="1"/>
  <c r="F50" i="1"/>
  <c r="F77" i="1" s="1"/>
  <c r="J50" i="1"/>
  <c r="J77" i="1" s="1"/>
  <c r="D51" i="1"/>
  <c r="H51" i="1"/>
  <c r="L51" i="1"/>
  <c r="C145" i="1"/>
  <c r="C141" i="1"/>
  <c r="E83" i="1"/>
  <c r="G83" i="1"/>
  <c r="I83" i="1"/>
  <c r="K83" i="1"/>
  <c r="E63" i="1"/>
  <c r="C50" i="1"/>
  <c r="E50" i="1"/>
  <c r="E77" i="1" s="1"/>
  <c r="G50" i="1"/>
  <c r="G77" i="1" s="1"/>
  <c r="I50" i="1"/>
  <c r="I77" i="1" s="1"/>
  <c r="K50" i="1"/>
  <c r="K77" i="1" s="1"/>
  <c r="C120" i="1" l="1"/>
  <c r="D124" i="1" s="1"/>
  <c r="C162" i="1"/>
  <c r="G170" i="1" s="1"/>
  <c r="J145" i="1"/>
  <c r="J79" i="1"/>
  <c r="J141" i="1" s="1"/>
  <c r="K145" i="1"/>
  <c r="K79" i="1"/>
  <c r="K141" i="1" s="1"/>
  <c r="I145" i="1"/>
  <c r="I79" i="1"/>
  <c r="I141" i="1" s="1"/>
  <c r="G145" i="1"/>
  <c r="G79" i="1"/>
  <c r="G141" i="1" s="1"/>
  <c r="E145" i="1"/>
  <c r="E79" i="1"/>
  <c r="E141" i="1" s="1"/>
  <c r="F145" i="1"/>
  <c r="F79" i="1"/>
  <c r="F141" i="1" s="1"/>
  <c r="B38" i="4"/>
  <c r="B16" i="4"/>
  <c r="C155" i="1"/>
  <c r="K80" i="1"/>
  <c r="K142" i="1" s="1"/>
  <c r="K78" i="1"/>
  <c r="K139" i="1"/>
  <c r="G80" i="1"/>
  <c r="G142" i="1" s="1"/>
  <c r="G78" i="1"/>
  <c r="G139" i="1"/>
  <c r="C77" i="1"/>
  <c r="E71" i="1"/>
  <c r="F71" i="1" s="1"/>
  <c r="F73" i="1" s="1"/>
  <c r="E67" i="1"/>
  <c r="G63" i="1"/>
  <c r="M97" i="1" s="1"/>
  <c r="M160" i="1" s="1"/>
  <c r="L50" i="4" s="1"/>
  <c r="H83" i="1"/>
  <c r="J139" i="1"/>
  <c r="J80" i="1"/>
  <c r="J142" i="1" s="1"/>
  <c r="J78" i="1"/>
  <c r="C98" i="1"/>
  <c r="I139" i="1"/>
  <c r="I80" i="1"/>
  <c r="I142" i="1" s="1"/>
  <c r="I78" i="1"/>
  <c r="E139" i="1"/>
  <c r="E80" i="1"/>
  <c r="E142" i="1" s="1"/>
  <c r="E78" i="1"/>
  <c r="L83" i="1"/>
  <c r="D83" i="1"/>
  <c r="F139" i="1"/>
  <c r="F80" i="1"/>
  <c r="F142" i="1" s="1"/>
  <c r="F78" i="1"/>
  <c r="D93" i="1" l="1"/>
  <c r="D156" i="1"/>
  <c r="D125" i="1"/>
  <c r="D126" i="1" s="1"/>
  <c r="F124" i="1"/>
  <c r="L145" i="1"/>
  <c r="L79" i="1"/>
  <c r="L81" i="1" s="1"/>
  <c r="H145" i="1"/>
  <c r="H79" i="1"/>
  <c r="H81" i="1" s="1"/>
  <c r="D145" i="1"/>
  <c r="D79" i="1"/>
  <c r="D81" i="1" s="1"/>
  <c r="C161" i="1"/>
  <c r="C172" i="1"/>
  <c r="G169" i="1"/>
  <c r="C48" i="4"/>
  <c r="B36" i="4"/>
  <c r="B39" i="4" s="1"/>
  <c r="D16" i="4"/>
  <c r="E16" i="4" s="1"/>
  <c r="F52" i="4" s="1"/>
  <c r="C108" i="1"/>
  <c r="E81" i="1"/>
  <c r="E143" i="1" s="1"/>
  <c r="F81" i="1"/>
  <c r="F143" i="1" s="1"/>
  <c r="I81" i="1"/>
  <c r="J94" i="1" s="1"/>
  <c r="J81" i="1"/>
  <c r="J143" i="1" s="1"/>
  <c r="K81" i="1"/>
  <c r="L94" i="1" s="1"/>
  <c r="G81" i="1"/>
  <c r="G143" i="1" s="1"/>
  <c r="I143" i="1"/>
  <c r="K94" i="1"/>
  <c r="D141" i="1"/>
  <c r="D127" i="1"/>
  <c r="K86" i="1"/>
  <c r="I86" i="1"/>
  <c r="G86" i="1"/>
  <c r="E86" i="1"/>
  <c r="C86" i="1"/>
  <c r="J86" i="1"/>
  <c r="F86" i="1"/>
  <c r="L86" i="1"/>
  <c r="H86" i="1"/>
  <c r="D86" i="1"/>
  <c r="C80" i="1"/>
  <c r="C142" i="1" s="1"/>
  <c r="C78" i="1"/>
  <c r="C140" i="1" s="1"/>
  <c r="C139" i="1"/>
  <c r="D163" i="1" l="1"/>
  <c r="C125" i="1"/>
  <c r="E125" i="1" s="1"/>
  <c r="E164" i="1" s="1"/>
  <c r="L141" i="1"/>
  <c r="H141" i="1"/>
  <c r="K143" i="1"/>
  <c r="F94" i="1"/>
  <c r="F157" i="1" s="1"/>
  <c r="B40" i="4"/>
  <c r="C49" i="4" s="1"/>
  <c r="G171" i="1"/>
  <c r="G173" i="1" s="1"/>
  <c r="G172" i="1"/>
  <c r="C177" i="1"/>
  <c r="C165" i="1"/>
  <c r="C45" i="4"/>
  <c r="H94" i="1"/>
  <c r="H157" i="1" s="1"/>
  <c r="G94" i="1"/>
  <c r="D148" i="1"/>
  <c r="D85" i="1"/>
  <c r="D87" i="1" s="1"/>
  <c r="L148" i="1"/>
  <c r="L85" i="1"/>
  <c r="L87" i="1" s="1"/>
  <c r="J148" i="1"/>
  <c r="J85" i="1"/>
  <c r="J87" i="1" s="1"/>
  <c r="E148" i="1"/>
  <c r="E85" i="1"/>
  <c r="E87" i="1" s="1"/>
  <c r="I148" i="1"/>
  <c r="I85" i="1"/>
  <c r="I87" i="1" s="1"/>
  <c r="D149" i="1"/>
  <c r="F125" i="1"/>
  <c r="E163" i="1" s="1"/>
  <c r="L157" i="1"/>
  <c r="K157" i="1"/>
  <c r="G157" i="1"/>
  <c r="C81" i="1"/>
  <c r="H148" i="1"/>
  <c r="H85" i="1"/>
  <c r="H87" i="1" s="1"/>
  <c r="F148" i="1"/>
  <c r="F85" i="1"/>
  <c r="F87" i="1" s="1"/>
  <c r="C85" i="1"/>
  <c r="C148" i="1"/>
  <c r="C147" i="1" s="1"/>
  <c r="G148" i="1"/>
  <c r="G85" i="1"/>
  <c r="G87" i="1" s="1"/>
  <c r="K85" i="1"/>
  <c r="K87" i="1" s="1"/>
  <c r="K148" i="1"/>
  <c r="D128" i="1"/>
  <c r="L143" i="1"/>
  <c r="M94" i="1"/>
  <c r="D143" i="1"/>
  <c r="E94" i="1"/>
  <c r="H143" i="1"/>
  <c r="I94" i="1"/>
  <c r="J157" i="1"/>
  <c r="G177" i="1" l="1"/>
  <c r="C170" i="1" s="1"/>
  <c r="C53" i="4"/>
  <c r="B41" i="4"/>
  <c r="C38" i="4"/>
  <c r="B17" i="4"/>
  <c r="L88" i="1"/>
  <c r="M96" i="1" s="1"/>
  <c r="M98" i="1" s="1"/>
  <c r="H88" i="1"/>
  <c r="I96" i="1" s="1"/>
  <c r="I98" i="1" s="1"/>
  <c r="I157" i="1"/>
  <c r="D88" i="1"/>
  <c r="E96" i="1" s="1"/>
  <c r="E98" i="1" s="1"/>
  <c r="M157" i="1"/>
  <c r="E88" i="1"/>
  <c r="F96" i="1" s="1"/>
  <c r="F98" i="1" s="1"/>
  <c r="E157" i="1"/>
  <c r="D129" i="1"/>
  <c r="K88" i="1"/>
  <c r="L96" i="1" s="1"/>
  <c r="L98" i="1" s="1"/>
  <c r="G88" i="1"/>
  <c r="H96" i="1" s="1"/>
  <c r="H98" i="1" s="1"/>
  <c r="F88" i="1"/>
  <c r="G96" i="1" s="1"/>
  <c r="G98" i="1" s="1"/>
  <c r="D94" i="1"/>
  <c r="C87" i="1"/>
  <c r="C143" i="1"/>
  <c r="C150" i="1" s="1"/>
  <c r="C126" i="1"/>
  <c r="I88" i="1"/>
  <c r="J96" i="1" s="1"/>
  <c r="J98" i="1" s="1"/>
  <c r="J88" i="1"/>
  <c r="K96" i="1" s="1"/>
  <c r="K98" i="1" s="1"/>
  <c r="D147" i="1"/>
  <c r="D150" i="1" s="1"/>
  <c r="C39" i="4" s="1"/>
  <c r="D48" i="4" l="1"/>
  <c r="C36" i="4"/>
  <c r="D17" i="4"/>
  <c r="E17" i="4" s="1"/>
  <c r="G52" i="4" s="1"/>
  <c r="E126" i="1"/>
  <c r="F164" i="1" s="1"/>
  <c r="C88" i="1"/>
  <c r="D96" i="1" s="1"/>
  <c r="D98" i="1" s="1"/>
  <c r="D151" i="1"/>
  <c r="C151" i="1"/>
  <c r="D159" i="1" s="1"/>
  <c r="D157" i="1"/>
  <c r="D130" i="1"/>
  <c r="D161" i="1" l="1"/>
  <c r="C40" i="4"/>
  <c r="D49" i="4" s="1"/>
  <c r="E159" i="1"/>
  <c r="E161" i="1" s="1"/>
  <c r="E165" i="1" s="1"/>
  <c r="C41" i="4"/>
  <c r="C107" i="1"/>
  <c r="C109" i="1" s="1"/>
  <c r="D131" i="1"/>
  <c r="E149" i="1"/>
  <c r="F126" i="1"/>
  <c r="F163" i="1" s="1"/>
  <c r="D165" i="1" l="1"/>
  <c r="D38" i="4"/>
  <c r="B18" i="4"/>
  <c r="C101" i="1"/>
  <c r="C106" i="1" s="1"/>
  <c r="C103" i="1"/>
  <c r="H140" i="1" s="1"/>
  <c r="C127" i="1"/>
  <c r="E147" i="1"/>
  <c r="E150" i="1" s="1"/>
  <c r="D39" i="4" s="1"/>
  <c r="D132" i="1"/>
  <c r="E48" i="4" l="1"/>
  <c r="D36" i="4"/>
  <c r="D18" i="4"/>
  <c r="E18" i="4" s="1"/>
  <c r="H52" i="4" s="1"/>
  <c r="G140" i="1"/>
  <c r="K140" i="1"/>
  <c r="F140" i="1"/>
  <c r="L140" i="1"/>
  <c r="J140" i="1"/>
  <c r="E140" i="1"/>
  <c r="I140" i="1"/>
  <c r="D140" i="1"/>
  <c r="D133" i="1"/>
  <c r="E127" i="1"/>
  <c r="G164" i="1" s="1"/>
  <c r="E151" i="1"/>
  <c r="D40" i="4" l="1"/>
  <c r="E49" i="4" s="1"/>
  <c r="E53" i="4" s="1"/>
  <c r="F159" i="1"/>
  <c r="F161" i="1" s="1"/>
  <c r="D41" i="4"/>
  <c r="F149" i="1"/>
  <c r="F127" i="1"/>
  <c r="G163" i="1" s="1"/>
  <c r="F165" i="1" l="1"/>
  <c r="E38" i="4"/>
  <c r="B19" i="4"/>
  <c r="D19" i="4" s="1"/>
  <c r="E19" i="4" s="1"/>
  <c r="I52" i="4" s="1"/>
  <c r="C128" i="1"/>
  <c r="F147" i="1"/>
  <c r="F150" i="1" s="1"/>
  <c r="E39" i="4" s="1"/>
  <c r="F48" i="4" l="1"/>
  <c r="E36" i="4"/>
  <c r="F151" i="1"/>
  <c r="E128" i="1"/>
  <c r="H164" i="1" s="1"/>
  <c r="E40" i="4" l="1"/>
  <c r="F49" i="4" s="1"/>
  <c r="F53" i="4" s="1"/>
  <c r="G159" i="1"/>
  <c r="G161" i="1" s="1"/>
  <c r="E41" i="4"/>
  <c r="G149" i="1"/>
  <c r="F128" i="1"/>
  <c r="H163" i="1" s="1"/>
  <c r="G165" i="1" l="1"/>
  <c r="F38" i="4"/>
  <c r="B20" i="4"/>
  <c r="D20" i="4" s="1"/>
  <c r="E20" i="4" s="1"/>
  <c r="J52" i="4" s="1"/>
  <c r="C129" i="1"/>
  <c r="G147" i="1"/>
  <c r="G150" i="1" s="1"/>
  <c r="F39" i="4" s="1"/>
  <c r="G48" i="4" l="1"/>
  <c r="F36" i="4"/>
  <c r="G151" i="1"/>
  <c r="H159" i="1" s="1"/>
  <c r="H161" i="1" s="1"/>
  <c r="E129" i="1"/>
  <c r="I164" i="1" s="1"/>
  <c r="H165" i="1" l="1"/>
  <c r="F40" i="4"/>
  <c r="G49" i="4" s="1"/>
  <c r="G53" i="4" s="1"/>
  <c r="F41" i="4"/>
  <c r="H149" i="1"/>
  <c r="F129" i="1"/>
  <c r="I163" i="1" s="1"/>
  <c r="G38" i="4" l="1"/>
  <c r="B21" i="4"/>
  <c r="D21" i="4" s="1"/>
  <c r="E21" i="4" s="1"/>
  <c r="K52" i="4" s="1"/>
  <c r="C130" i="1"/>
  <c r="H147" i="1"/>
  <c r="H150" i="1" s="1"/>
  <c r="G39" i="4" s="1"/>
  <c r="H48" i="4" l="1"/>
  <c r="G36" i="4"/>
  <c r="H151" i="1"/>
  <c r="E130" i="1"/>
  <c r="J164" i="1" s="1"/>
  <c r="G40" i="4" l="1"/>
  <c r="H49" i="4" s="1"/>
  <c r="H53" i="4" s="1"/>
  <c r="I159" i="1"/>
  <c r="I161" i="1" s="1"/>
  <c r="I165" i="1" s="1"/>
  <c r="G41" i="4"/>
  <c r="I149" i="1"/>
  <c r="F130" i="1"/>
  <c r="J163" i="1" s="1"/>
  <c r="H38" i="4" l="1"/>
  <c r="B22" i="4"/>
  <c r="D22" i="4" s="1"/>
  <c r="E22" i="4" s="1"/>
  <c r="L52" i="4" s="1"/>
  <c r="C131" i="1"/>
  <c r="I147" i="1"/>
  <c r="I150" i="1" s="1"/>
  <c r="H39" i="4" s="1"/>
  <c r="I48" i="4" l="1"/>
  <c r="H36" i="4"/>
  <c r="I151" i="1"/>
  <c r="E131" i="1"/>
  <c r="K164" i="1" s="1"/>
  <c r="H40" i="4" l="1"/>
  <c r="I49" i="4" s="1"/>
  <c r="I53" i="4" s="1"/>
  <c r="J159" i="1"/>
  <c r="J161" i="1" s="1"/>
  <c r="J165" i="1" s="1"/>
  <c r="H41" i="4"/>
  <c r="J149" i="1"/>
  <c r="F131" i="1"/>
  <c r="K163" i="1" s="1"/>
  <c r="I38" i="4" l="1"/>
  <c r="C132" i="1"/>
  <c r="J147" i="1"/>
  <c r="J150" i="1" s="1"/>
  <c r="I39" i="4" s="1"/>
  <c r="J48" i="4" l="1"/>
  <c r="I36" i="4"/>
  <c r="J151" i="1"/>
  <c r="E132" i="1"/>
  <c r="L164" i="1" s="1"/>
  <c r="I40" i="4" l="1"/>
  <c r="J49" i="4" s="1"/>
  <c r="J53" i="4" s="1"/>
  <c r="K159" i="1"/>
  <c r="K161" i="1" s="1"/>
  <c r="K165" i="1" s="1"/>
  <c r="I41" i="4"/>
  <c r="K149" i="1"/>
  <c r="F132" i="1"/>
  <c r="L163" i="1" s="1"/>
  <c r="J38" i="4" l="1"/>
  <c r="C133" i="1"/>
  <c r="E133" i="1" s="1"/>
  <c r="M164" i="1" s="1"/>
  <c r="K147" i="1"/>
  <c r="K150" i="1" s="1"/>
  <c r="J39" i="4" s="1"/>
  <c r="K48" i="4" l="1"/>
  <c r="J36" i="4"/>
  <c r="K151" i="1"/>
  <c r="L159" i="1" s="1"/>
  <c r="L161" i="1" s="1"/>
  <c r="L165" i="1" s="1"/>
  <c r="L149" i="1"/>
  <c r="F133" i="1"/>
  <c r="M163" i="1" s="1"/>
  <c r="K38" i="4" l="1"/>
  <c r="J40" i="4"/>
  <c r="K49" i="4" s="1"/>
  <c r="K53" i="4" s="1"/>
  <c r="J41" i="4"/>
  <c r="L147" i="1"/>
  <c r="L150" i="1" s="1"/>
  <c r="K39" i="4" s="1"/>
  <c r="L48" i="4" l="1"/>
  <c r="K36" i="4"/>
  <c r="L151" i="1"/>
  <c r="K40" i="4" l="1"/>
  <c r="L49" i="4" s="1"/>
  <c r="L53" i="4" s="1"/>
  <c r="M159" i="1"/>
  <c r="M161" i="1" s="1"/>
  <c r="K41" i="4"/>
  <c r="M165" i="1" l="1"/>
  <c r="C171" i="1" s="1"/>
  <c r="C175" i="1"/>
  <c r="C178" i="1" s="1"/>
  <c r="C169" i="1"/>
  <c r="C174" i="1" s="1"/>
  <c r="C32" i="4"/>
  <c r="D46" i="4" s="1"/>
  <c r="D53" i="4" s="1"/>
  <c r="B59" i="4" l="1"/>
  <c r="B63" i="4"/>
  <c r="B65" i="4" s="1"/>
  <c r="B57" i="4"/>
  <c r="B62" i="4" l="1"/>
  <c r="C72" i="4"/>
</calcChain>
</file>

<file path=xl/comments1.xml><?xml version="1.0" encoding="utf-8"?>
<comments xmlns="http://schemas.openxmlformats.org/spreadsheetml/2006/main">
  <authors>
    <author>Marlon Velasquez</author>
  </authors>
  <commentList>
    <comment ref="C49" authorId="0">
      <text>
        <r>
          <rPr>
            <b/>
            <sz val="9"/>
            <color indexed="81"/>
            <rFont val="Tahoma"/>
            <family val="2"/>
          </rPr>
          <t>Marlon Velasquez:</t>
        </r>
        <r>
          <rPr>
            <sz val="9"/>
            <color indexed="81"/>
            <rFont val="Tahoma"/>
            <family val="2"/>
          </rPr>
          <t xml:space="preserve">
Es el resultado de multiplicar Cantidad a vender al 100%(u/ano) del Cuadro 2 por la Fila Prog. Prod.(%) del Cuadro 3.</t>
        </r>
      </text>
    </comment>
    <comment ref="C50" authorId="0">
      <text>
        <r>
          <rPr>
            <b/>
            <sz val="9"/>
            <color indexed="81"/>
            <rFont val="Tahoma"/>
            <family val="2"/>
          </rPr>
          <t>Marlon Velasquez:</t>
        </r>
        <r>
          <rPr>
            <sz val="9"/>
            <color indexed="81"/>
            <rFont val="Tahoma"/>
            <family val="2"/>
          </rPr>
          <t xml:space="preserve">
Es el resultado de multiplicar Precio de Venta del Cuadro 2 por la Producción del Cuadro 3.</t>
        </r>
      </text>
    </comment>
    <comment ref="C51" authorId="0">
      <text>
        <r>
          <rPr>
            <b/>
            <sz val="9"/>
            <color indexed="81"/>
            <rFont val="Tahoma"/>
            <family val="2"/>
          </rPr>
          <t>Marlon Velasquez:</t>
        </r>
        <r>
          <rPr>
            <sz val="9"/>
            <color indexed="81"/>
            <rFont val="Tahoma"/>
            <family val="2"/>
          </rPr>
          <t xml:space="preserve">
Es el Resultado de multiplicar el Costo Variable del Cuadro 2 por la Fila Costo Variable del Cuadro 3</t>
        </r>
      </text>
    </comment>
    <comment ref="C52" authorId="0">
      <text>
        <r>
          <rPr>
            <b/>
            <sz val="9"/>
            <color indexed="81"/>
            <rFont val="Tahoma"/>
            <family val="2"/>
          </rPr>
          <t>Marlon Velasquez:</t>
        </r>
        <r>
          <rPr>
            <sz val="9"/>
            <color indexed="81"/>
            <rFont val="Tahoma"/>
            <family val="2"/>
          </rPr>
          <t xml:space="preserve">
Es el Costo Fijo del Cuadro 2, el supuesto es que es igual para todos los años</t>
        </r>
      </text>
    </comment>
    <comment ref="C63" authorId="0">
      <text>
        <r>
          <rPr>
            <b/>
            <sz val="9"/>
            <color indexed="81"/>
            <rFont val="Tahoma"/>
            <family val="2"/>
          </rPr>
          <t>Marlon Velasquez:</t>
        </r>
        <r>
          <rPr>
            <sz val="9"/>
            <color indexed="81"/>
            <rFont val="Tahoma"/>
            <family val="2"/>
          </rPr>
          <t xml:space="preserve">
Viene del Cuadro 1
</t>
        </r>
      </text>
    </comment>
    <comment ref="D63" authorId="0">
      <text>
        <r>
          <rPr>
            <b/>
            <sz val="9"/>
            <color indexed="81"/>
            <rFont val="Tahoma"/>
            <family val="2"/>
          </rPr>
          <t>Marlon Velasquez:</t>
        </r>
        <r>
          <rPr>
            <sz val="9"/>
            <color indexed="81"/>
            <rFont val="Tahoma"/>
            <family val="2"/>
          </rPr>
          <t xml:space="preserve">
Viene del Cuadro 1
</t>
        </r>
      </text>
    </comment>
    <comment ref="D71" authorId="0">
      <text>
        <r>
          <rPr>
            <b/>
            <sz val="9"/>
            <color indexed="81"/>
            <rFont val="Tahoma"/>
            <family val="2"/>
          </rPr>
          <t>Marlon Velasquez:</t>
        </r>
        <r>
          <rPr>
            <sz val="9"/>
            <color indexed="81"/>
            <rFont val="Tahoma"/>
            <family val="2"/>
          </rPr>
          <t xml:space="preserve">
Es un Supuesto</t>
        </r>
      </text>
    </comment>
    <comment ref="D72" authorId="0">
      <text>
        <r>
          <rPr>
            <b/>
            <sz val="9"/>
            <color indexed="81"/>
            <rFont val="Tahoma"/>
            <family val="2"/>
          </rPr>
          <t>Marlon Velasquez:</t>
        </r>
        <r>
          <rPr>
            <sz val="9"/>
            <color indexed="81"/>
            <rFont val="Tahoma"/>
            <family val="2"/>
          </rPr>
          <t xml:space="preserve">
Es un Supuesto
</t>
        </r>
      </text>
    </comment>
    <comment ref="C73" authorId="0">
      <text>
        <r>
          <rPr>
            <b/>
            <sz val="9"/>
            <color indexed="81"/>
            <rFont val="Tahoma"/>
            <family val="2"/>
          </rPr>
          <t>Marlon Velasquez:</t>
        </r>
        <r>
          <rPr>
            <sz val="9"/>
            <color indexed="81"/>
            <rFont val="Tahoma"/>
            <family val="2"/>
          </rPr>
          <t xml:space="preserve">
Es una Fórmula Contable de la Balance de una empresa
</t>
        </r>
      </text>
    </comment>
    <comment ref="C77" authorId="0">
      <text>
        <r>
          <rPr>
            <b/>
            <sz val="9"/>
            <color indexed="81"/>
            <rFont val="Tahoma"/>
            <family val="2"/>
          </rPr>
          <t>Marlon Velasquez:</t>
        </r>
        <r>
          <rPr>
            <sz val="9"/>
            <color indexed="81"/>
            <rFont val="Tahoma"/>
            <family val="2"/>
          </rPr>
          <t xml:space="preserve">
Viene de Ventas del Cuadro 3</t>
        </r>
      </text>
    </comment>
    <comment ref="C78" authorId="0">
      <text>
        <r>
          <rPr>
            <b/>
            <sz val="9"/>
            <color indexed="81"/>
            <rFont val="Tahoma"/>
            <family val="2"/>
          </rPr>
          <t>Marlon Velasquez:</t>
        </r>
        <r>
          <rPr>
            <sz val="9"/>
            <color indexed="81"/>
            <rFont val="Tahoma"/>
            <family val="2"/>
          </rPr>
          <t xml:space="preserve">
Es el Resultado de multiplicar la Tasa del Impuesto de Ventas del Cuadro 2 por la Fila de Ventas del Cuadro 6</t>
        </r>
      </text>
    </comment>
    <comment ref="C79" authorId="0">
      <text>
        <r>
          <rPr>
            <b/>
            <sz val="9"/>
            <color indexed="81"/>
            <rFont val="Tahoma"/>
            <family val="2"/>
          </rPr>
          <t>Marlon Velasquez:</t>
        </r>
        <r>
          <rPr>
            <sz val="9"/>
            <color indexed="81"/>
            <rFont val="Tahoma"/>
            <family val="2"/>
          </rPr>
          <t xml:space="preserve">
Es el resultado de multiplicar la suma de Costos Variables y Costo Fijos del Cuadro 6 por el Impuesto de Ventas del Cuadro 2. Se está aplicando el supuesto que el 40%de los Flujos de Costos Variables y Fijos son sujetos de impuesto de ventas.</t>
        </r>
      </text>
    </comment>
    <comment ref="C80" authorId="0">
      <text>
        <r>
          <rPr>
            <b/>
            <sz val="9"/>
            <color indexed="81"/>
            <rFont val="Tahoma"/>
            <family val="2"/>
          </rPr>
          <t>Marlon Velasquez:</t>
        </r>
        <r>
          <rPr>
            <sz val="9"/>
            <color indexed="81"/>
            <rFont val="Tahoma"/>
            <family val="2"/>
          </rPr>
          <t xml:space="preserve">
Es el resultado de multiplicar la Fila de Ventas del Cuadro 6 por el Impuesto a las Transacciones del Cuadro 2</t>
        </r>
      </text>
    </comment>
    <comment ref="C83" authorId="0">
      <text>
        <r>
          <rPr>
            <b/>
            <sz val="9"/>
            <color indexed="81"/>
            <rFont val="Tahoma"/>
            <family val="2"/>
          </rPr>
          <t>Marlon Velasquez:</t>
        </r>
        <r>
          <rPr>
            <sz val="9"/>
            <color indexed="81"/>
            <rFont val="Tahoma"/>
            <family val="2"/>
          </rPr>
          <t xml:space="preserve">
Viene del Cuadro 3
</t>
        </r>
      </text>
    </comment>
    <comment ref="C84" authorId="0">
      <text>
        <r>
          <rPr>
            <b/>
            <sz val="9"/>
            <color indexed="81"/>
            <rFont val="Tahoma"/>
            <family val="2"/>
          </rPr>
          <t>Marlon Velasquez:</t>
        </r>
        <r>
          <rPr>
            <sz val="9"/>
            <color indexed="81"/>
            <rFont val="Tahoma"/>
            <family val="2"/>
          </rPr>
          <t xml:space="preserve">
Viene del Cuadro 3
</t>
        </r>
      </text>
    </comment>
    <comment ref="C86" authorId="0">
      <text>
        <r>
          <rPr>
            <b/>
            <sz val="9"/>
            <color indexed="81"/>
            <rFont val="Tahoma"/>
            <family val="2"/>
          </rPr>
          <t>Marlon Velasquez:</t>
        </r>
        <r>
          <rPr>
            <sz val="9"/>
            <color indexed="81"/>
            <rFont val="Tahoma"/>
            <family val="2"/>
          </rPr>
          <t xml:space="preserve">
Viene del Cuadro 4
</t>
        </r>
      </text>
    </comment>
    <comment ref="C88" authorId="0">
      <text>
        <r>
          <rPr>
            <b/>
            <sz val="9"/>
            <color indexed="81"/>
            <rFont val="Tahoma"/>
            <family val="2"/>
          </rPr>
          <t>Marlon Velasquez:</t>
        </r>
        <r>
          <rPr>
            <sz val="9"/>
            <color indexed="81"/>
            <rFont val="Tahoma"/>
            <family val="2"/>
          </rPr>
          <t xml:space="preserve">
Es el resultado de multiplicar la Utilidad Bruta del Cuadro 6 por el Impuesto a las Utilidades del Cuadro 2</t>
        </r>
      </text>
    </comment>
    <comment ref="C92" authorId="0">
      <text>
        <r>
          <rPr>
            <b/>
            <sz val="9"/>
            <color indexed="81"/>
            <rFont val="Tahoma"/>
            <family val="2"/>
          </rPr>
          <t>Marlon Velasquez:</t>
        </r>
        <r>
          <rPr>
            <sz val="9"/>
            <color indexed="81"/>
            <rFont val="Tahoma"/>
            <family val="2"/>
          </rPr>
          <t xml:space="preserve">
Viene del Cuadro 1, es negativo por ser un egreso</t>
        </r>
      </text>
    </comment>
    <comment ref="D93" authorId="0">
      <text>
        <r>
          <rPr>
            <b/>
            <sz val="9"/>
            <color indexed="81"/>
            <rFont val="Tahoma"/>
            <family val="2"/>
          </rPr>
          <t>Marlon Velasquez:</t>
        </r>
        <r>
          <rPr>
            <sz val="9"/>
            <color indexed="81"/>
            <rFont val="Tahoma"/>
            <family val="2"/>
          </rPr>
          <t xml:space="preserve">
Viene del Cuadro 5</t>
        </r>
      </text>
    </comment>
    <comment ref="D94" authorId="0">
      <text>
        <r>
          <rPr>
            <b/>
            <sz val="9"/>
            <color indexed="81"/>
            <rFont val="Tahoma"/>
            <family val="2"/>
          </rPr>
          <t>Marlon Velasquez:</t>
        </r>
        <r>
          <rPr>
            <sz val="9"/>
            <color indexed="81"/>
            <rFont val="Tahoma"/>
            <family val="2"/>
          </rPr>
          <t xml:space="preserve">
Viene de Ingreso Neto del Cuadro 6</t>
        </r>
      </text>
    </comment>
    <comment ref="D95" authorId="0">
      <text>
        <r>
          <rPr>
            <b/>
            <sz val="9"/>
            <color indexed="81"/>
            <rFont val="Tahoma"/>
            <family val="2"/>
          </rPr>
          <t>Marlon Velasquez:</t>
        </r>
        <r>
          <rPr>
            <sz val="9"/>
            <color indexed="81"/>
            <rFont val="Tahoma"/>
            <family val="2"/>
          </rPr>
          <t xml:space="preserve">
Viene de Costos Operativos del Cuadro 6</t>
        </r>
      </text>
    </comment>
    <comment ref="D96" authorId="0">
      <text>
        <r>
          <rPr>
            <b/>
            <sz val="9"/>
            <color indexed="81"/>
            <rFont val="Tahoma"/>
            <family val="2"/>
          </rPr>
          <t>Marlon Velasquez:</t>
        </r>
        <r>
          <rPr>
            <sz val="9"/>
            <color indexed="81"/>
            <rFont val="Tahoma"/>
            <family val="2"/>
          </rPr>
          <t xml:space="preserve">
Viene de I.U.E del Cuadro 6</t>
        </r>
      </text>
    </comment>
    <comment ref="M97" authorId="0">
      <text>
        <r>
          <rPr>
            <b/>
            <sz val="9"/>
            <color indexed="81"/>
            <rFont val="Tahoma"/>
            <charset val="1"/>
          </rPr>
          <t>Marlon Velasquez:</t>
        </r>
        <r>
          <rPr>
            <sz val="9"/>
            <color indexed="81"/>
            <rFont val="Tahoma"/>
            <charset val="1"/>
          </rPr>
          <t xml:space="preserve">
Viene del Valor de Desecho de las Obras Civiles del Cuadro 4</t>
        </r>
      </text>
    </comment>
    <comment ref="C101" authorId="0">
      <text>
        <r>
          <rPr>
            <b/>
            <sz val="9"/>
            <color indexed="81"/>
            <rFont val="Tahoma"/>
            <family val="2"/>
          </rPr>
          <t>Marlon Velasquez:</t>
        </r>
        <r>
          <rPr>
            <sz val="9"/>
            <color indexed="81"/>
            <rFont val="Tahoma"/>
            <family val="2"/>
          </rPr>
          <t xml:space="preserve">
Es el Valor de todos flujos traídos a valor presente con la tasa de rendimiento de capital proprio</t>
        </r>
      </text>
    </comment>
    <comment ref="C102" authorId="0">
      <text>
        <r>
          <rPr>
            <b/>
            <sz val="9"/>
            <color indexed="81"/>
            <rFont val="Tahoma"/>
            <family val="2"/>
          </rPr>
          <t>Marlon Velasquez:</t>
        </r>
        <r>
          <rPr>
            <sz val="9"/>
            <color indexed="81"/>
            <rFont val="Tahoma"/>
            <family val="2"/>
          </rPr>
          <t xml:space="preserve">
Por ser un proyecto financiado con Capital Propio, entonces solo se utiliza la tasa de Rendimiento que quiere el inversionista.</t>
        </r>
      </text>
    </comment>
    <comment ref="C103" authorId="0">
      <text>
        <r>
          <rPr>
            <b/>
            <sz val="9"/>
            <color indexed="81"/>
            <rFont val="Tahoma"/>
            <family val="2"/>
          </rPr>
          <t>Marlon Velasquez:</t>
        </r>
        <r>
          <rPr>
            <sz val="9"/>
            <color indexed="81"/>
            <rFont val="Tahoma"/>
            <family val="2"/>
          </rPr>
          <t xml:space="preserve">
Es la tasa donde el VAN del proyecto se hace 0.</t>
        </r>
      </text>
    </comment>
    <comment ref="C106" authorId="0">
      <text>
        <r>
          <rPr>
            <b/>
            <sz val="9"/>
            <color indexed="81"/>
            <rFont val="Tahoma"/>
            <family val="2"/>
          </rPr>
          <t>Marlon Velasquez:</t>
        </r>
        <r>
          <rPr>
            <sz val="9"/>
            <color indexed="81"/>
            <rFont val="Tahoma"/>
            <family val="2"/>
          </rPr>
          <t xml:space="preserve">
Es el VAN dividido entre la Inversión</t>
        </r>
      </text>
    </comment>
    <comment ref="C107" authorId="0">
      <text>
        <r>
          <rPr>
            <b/>
            <sz val="9"/>
            <color indexed="81"/>
            <rFont val="Tahoma"/>
            <family val="2"/>
          </rPr>
          <t>Marlon Velasquez:</t>
        </r>
        <r>
          <rPr>
            <sz val="9"/>
            <color indexed="81"/>
            <rFont val="Tahoma"/>
            <family val="2"/>
          </rPr>
          <t xml:space="preserve">
Viene del Cuadro 7, es el Valor Presente de los Flujos Positivos del Flujo Neto</t>
        </r>
      </text>
    </comment>
    <comment ref="C108" authorId="0">
      <text>
        <r>
          <rPr>
            <b/>
            <sz val="9"/>
            <color indexed="81"/>
            <rFont val="Tahoma"/>
            <family val="2"/>
          </rPr>
          <t>Marlon Velasquez:</t>
        </r>
        <r>
          <rPr>
            <sz val="9"/>
            <color indexed="81"/>
            <rFont val="Tahoma"/>
            <family val="2"/>
          </rPr>
          <t xml:space="preserve">
Viene del Cuadro 11, es el Valor Presente de los Flujos Negativos del Flujo Neto</t>
        </r>
      </text>
    </comment>
    <comment ref="C109" authorId="0">
      <text>
        <r>
          <rPr>
            <b/>
            <sz val="9"/>
            <color indexed="81"/>
            <rFont val="Tahoma"/>
            <family val="2"/>
          </rPr>
          <t>Marlon Velasquez:</t>
        </r>
        <r>
          <rPr>
            <sz val="9"/>
            <color indexed="81"/>
            <rFont val="Tahoma"/>
            <family val="2"/>
          </rPr>
          <t xml:space="preserve">
Es la división entre Valor Presente Flujos Positivos y los Negativos.</t>
        </r>
      </text>
    </comment>
    <comment ref="C139" authorId="0">
      <text>
        <r>
          <rPr>
            <b/>
            <sz val="9"/>
            <color indexed="81"/>
            <rFont val="Tahoma"/>
            <family val="2"/>
          </rPr>
          <t>Marlon Velasquez:</t>
        </r>
        <r>
          <rPr>
            <sz val="9"/>
            <color indexed="81"/>
            <rFont val="Tahoma"/>
            <family val="2"/>
          </rPr>
          <t xml:space="preserve">
Viene de Ventas del Cuadro 3</t>
        </r>
      </text>
    </comment>
    <comment ref="C140" authorId="0">
      <text>
        <r>
          <rPr>
            <b/>
            <sz val="9"/>
            <color indexed="81"/>
            <rFont val="Tahoma"/>
            <family val="2"/>
          </rPr>
          <t>Marlon Velasquez:</t>
        </r>
        <r>
          <rPr>
            <sz val="9"/>
            <color indexed="81"/>
            <rFont val="Tahoma"/>
            <family val="2"/>
          </rPr>
          <t xml:space="preserve">
Es el Resultado de multiplicar la Tasa del Impuesto de Ventas del Cuadro 2 por la Fila de Ventas del Cuadro 6</t>
        </r>
      </text>
    </comment>
    <comment ref="C141" authorId="0">
      <text>
        <r>
          <rPr>
            <b/>
            <sz val="9"/>
            <color indexed="81"/>
            <rFont val="Tahoma"/>
            <family val="2"/>
          </rPr>
          <t>Marlon Velasquez:</t>
        </r>
        <r>
          <rPr>
            <sz val="9"/>
            <color indexed="81"/>
            <rFont val="Tahoma"/>
            <family val="2"/>
          </rPr>
          <t xml:space="preserve">
Es el resultado de multiplicar la suma de Costos Variables y Costo Fijos del Cuadro 6 por el Impuesto de Ventas del Cuadro 2</t>
        </r>
      </text>
    </comment>
    <comment ref="C142" authorId="0">
      <text>
        <r>
          <rPr>
            <b/>
            <sz val="9"/>
            <color indexed="81"/>
            <rFont val="Tahoma"/>
            <family val="2"/>
          </rPr>
          <t>Marlon Velasquez:</t>
        </r>
        <r>
          <rPr>
            <sz val="9"/>
            <color indexed="81"/>
            <rFont val="Tahoma"/>
            <family val="2"/>
          </rPr>
          <t xml:space="preserve">
Es el resultado de multiplicar la Fila de Ventas del Cuadro 6 por el Impuesto a las Transacciones del Cuadro 2</t>
        </r>
      </text>
    </comment>
    <comment ref="C145" authorId="0">
      <text>
        <r>
          <rPr>
            <b/>
            <sz val="9"/>
            <color indexed="81"/>
            <rFont val="Tahoma"/>
            <family val="2"/>
          </rPr>
          <t>Marlon Velasquez:</t>
        </r>
        <r>
          <rPr>
            <sz val="9"/>
            <color indexed="81"/>
            <rFont val="Tahoma"/>
            <family val="2"/>
          </rPr>
          <t xml:space="preserve">
Viene del Cuadro 3
</t>
        </r>
      </text>
    </comment>
    <comment ref="C146" authorId="0">
      <text>
        <r>
          <rPr>
            <b/>
            <sz val="9"/>
            <color indexed="81"/>
            <rFont val="Tahoma"/>
            <family val="2"/>
          </rPr>
          <t>Marlon Velasquez:</t>
        </r>
        <r>
          <rPr>
            <sz val="9"/>
            <color indexed="81"/>
            <rFont val="Tahoma"/>
            <family val="2"/>
          </rPr>
          <t xml:space="preserve">
Viene del Cuadro 3
</t>
        </r>
      </text>
    </comment>
    <comment ref="C148" authorId="0">
      <text>
        <r>
          <rPr>
            <b/>
            <sz val="9"/>
            <color indexed="81"/>
            <rFont val="Tahoma"/>
            <family val="2"/>
          </rPr>
          <t>Marlon Velasquez:</t>
        </r>
        <r>
          <rPr>
            <sz val="9"/>
            <color indexed="81"/>
            <rFont val="Tahoma"/>
            <family val="2"/>
          </rPr>
          <t xml:space="preserve">
Viene del Cuadro 4
</t>
        </r>
      </text>
    </comment>
    <comment ref="C151" authorId="0">
      <text>
        <r>
          <rPr>
            <b/>
            <sz val="9"/>
            <color indexed="81"/>
            <rFont val="Tahoma"/>
            <family val="2"/>
          </rPr>
          <t>Marlon Velasquez:</t>
        </r>
        <r>
          <rPr>
            <sz val="9"/>
            <color indexed="81"/>
            <rFont val="Tahoma"/>
            <family val="2"/>
          </rPr>
          <t xml:space="preserve">
Es el resultado de multiplicar la Utilidad Bruta del Cuadro 10 por el Impuesto a las Utilidades del Cuadro 2 (22%)</t>
        </r>
      </text>
    </comment>
    <comment ref="C155" authorId="0">
      <text>
        <r>
          <rPr>
            <b/>
            <sz val="9"/>
            <color indexed="81"/>
            <rFont val="Tahoma"/>
            <family val="2"/>
          </rPr>
          <t>Marlon Velasquez:</t>
        </r>
        <r>
          <rPr>
            <sz val="9"/>
            <color indexed="81"/>
            <rFont val="Tahoma"/>
            <family val="2"/>
          </rPr>
          <t xml:space="preserve">
Viene del Cuadro 1, es negativo por ser un egreso</t>
        </r>
      </text>
    </comment>
    <comment ref="D157" authorId="0">
      <text>
        <r>
          <rPr>
            <b/>
            <sz val="9"/>
            <color indexed="81"/>
            <rFont val="Tahoma"/>
            <family val="2"/>
          </rPr>
          <t>Marlon Velasquez:</t>
        </r>
        <r>
          <rPr>
            <sz val="9"/>
            <color indexed="81"/>
            <rFont val="Tahoma"/>
            <family val="2"/>
          </rPr>
          <t xml:space="preserve">
Viene de Ingreso Neto del Cuadro 6</t>
        </r>
      </text>
    </comment>
    <comment ref="D158" authorId="0">
      <text>
        <r>
          <rPr>
            <b/>
            <sz val="9"/>
            <color indexed="81"/>
            <rFont val="Tahoma"/>
            <family val="2"/>
          </rPr>
          <t>Marlon Velasquez:</t>
        </r>
        <r>
          <rPr>
            <sz val="9"/>
            <color indexed="81"/>
            <rFont val="Tahoma"/>
            <family val="2"/>
          </rPr>
          <t xml:space="preserve">
Viene de Costos Operativos del Cuadro 6</t>
        </r>
      </text>
    </comment>
    <comment ref="D159" authorId="0">
      <text>
        <r>
          <rPr>
            <b/>
            <sz val="9"/>
            <color indexed="81"/>
            <rFont val="Tahoma"/>
            <family val="2"/>
          </rPr>
          <t>Marlon Velasquez:</t>
        </r>
        <r>
          <rPr>
            <sz val="9"/>
            <color indexed="81"/>
            <rFont val="Tahoma"/>
            <family val="2"/>
          </rPr>
          <t xml:space="preserve">
Viene del Cuadro 10</t>
        </r>
      </text>
    </comment>
    <comment ref="M160" authorId="0">
      <text>
        <r>
          <rPr>
            <b/>
            <sz val="9"/>
            <color indexed="81"/>
            <rFont val="Tahoma"/>
            <charset val="1"/>
          </rPr>
          <t>Marlon Velasquez:</t>
        </r>
        <r>
          <rPr>
            <sz val="9"/>
            <color indexed="81"/>
            <rFont val="Tahoma"/>
            <charset val="1"/>
          </rPr>
          <t xml:space="preserve">
Viene del Valor de Desecho de las Obras Civiles del Cuadro 4</t>
        </r>
      </text>
    </comment>
    <comment ref="C162" authorId="0">
      <text>
        <r>
          <rPr>
            <b/>
            <sz val="9"/>
            <color indexed="81"/>
            <rFont val="Tahoma"/>
            <family val="2"/>
          </rPr>
          <t>Marlon Velasquez:</t>
        </r>
        <r>
          <rPr>
            <sz val="9"/>
            <color indexed="81"/>
            <rFont val="Tahoma"/>
            <family val="2"/>
          </rPr>
          <t xml:space="preserve">
Viene del Cuadro 8
</t>
        </r>
      </text>
    </comment>
    <comment ref="D163" authorId="0">
      <text>
        <r>
          <rPr>
            <b/>
            <sz val="9"/>
            <color indexed="81"/>
            <rFont val="Tahoma"/>
            <family val="2"/>
          </rPr>
          <t>Marlon Velasquez:</t>
        </r>
        <r>
          <rPr>
            <sz val="9"/>
            <color indexed="81"/>
            <rFont val="Tahoma"/>
            <family val="2"/>
          </rPr>
          <t xml:space="preserve">
Viene del Cuadro 9
</t>
        </r>
      </text>
    </comment>
    <comment ref="C169" authorId="0">
      <text>
        <r>
          <rPr>
            <b/>
            <sz val="9"/>
            <color indexed="81"/>
            <rFont val="Tahoma"/>
            <family val="2"/>
          </rPr>
          <t>Marlon Velasquez:</t>
        </r>
        <r>
          <rPr>
            <sz val="9"/>
            <color indexed="81"/>
            <rFont val="Tahoma"/>
            <family val="2"/>
          </rPr>
          <t xml:space="preserve">
Es el Valor de todos flujos traídos a valor presente con la tasa ponderada del proyecto</t>
        </r>
      </text>
    </comment>
    <comment ref="G169" authorId="0">
      <text>
        <r>
          <rPr>
            <b/>
            <sz val="9"/>
            <color indexed="81"/>
            <rFont val="Tahoma"/>
            <family val="2"/>
          </rPr>
          <t>Marlon Velasquez:</t>
        </r>
        <r>
          <rPr>
            <sz val="9"/>
            <color indexed="81"/>
            <rFont val="Tahoma"/>
            <family val="2"/>
          </rPr>
          <t xml:space="preserve">
Viene del Cuadro 11 de la línea de Inversión en el Año 0.</t>
        </r>
      </text>
    </comment>
    <comment ref="C170" authorId="0">
      <text>
        <r>
          <rPr>
            <b/>
            <sz val="9"/>
            <color indexed="81"/>
            <rFont val="Tahoma"/>
            <family val="2"/>
          </rPr>
          <t>Marlon Velasquez:</t>
        </r>
        <r>
          <rPr>
            <sz val="9"/>
            <color indexed="81"/>
            <rFont val="Tahoma"/>
            <family val="2"/>
          </rPr>
          <t xml:space="preserve">
Por ser un proyecto financiado, entonces se calcula una tasa ponderada entre la tasa de Rendimiento que quiere el inversionista y la tasa de financiamiento.</t>
        </r>
      </text>
    </comment>
    <comment ref="G170" authorId="0">
      <text>
        <r>
          <rPr>
            <b/>
            <sz val="9"/>
            <color indexed="81"/>
            <rFont val="Tahoma"/>
            <family val="2"/>
          </rPr>
          <t>Marlon Velasquez:</t>
        </r>
        <r>
          <rPr>
            <sz val="9"/>
            <color indexed="81"/>
            <rFont val="Tahoma"/>
            <family val="2"/>
          </rPr>
          <t xml:space="preserve">
Viene del Cuadro 8 y del Cuadro 11 de la línea de Préstamo o Deuda en el Año 0.</t>
        </r>
      </text>
    </comment>
    <comment ref="C171" authorId="0">
      <text>
        <r>
          <rPr>
            <b/>
            <sz val="9"/>
            <color indexed="81"/>
            <rFont val="Tahoma"/>
            <family val="2"/>
          </rPr>
          <t>Marlon Velasquez:</t>
        </r>
        <r>
          <rPr>
            <sz val="9"/>
            <color indexed="81"/>
            <rFont val="Tahoma"/>
            <family val="2"/>
          </rPr>
          <t xml:space="preserve">
Es la tasa donde el VAN del proyecto se hace 0.</t>
        </r>
      </text>
    </comment>
    <comment ref="G171" authorId="0">
      <text>
        <r>
          <rPr>
            <b/>
            <sz val="9"/>
            <color indexed="81"/>
            <rFont val="Tahoma"/>
            <family val="2"/>
          </rPr>
          <t>Marlon Velasquez:</t>
        </r>
        <r>
          <rPr>
            <sz val="9"/>
            <color indexed="81"/>
            <rFont val="Tahoma"/>
            <family val="2"/>
          </rPr>
          <t xml:space="preserve">
Diferencia entre la Inversión y el Préstamo</t>
        </r>
      </text>
    </comment>
    <comment ref="G172" authorId="0">
      <text>
        <r>
          <rPr>
            <b/>
            <sz val="9"/>
            <color indexed="81"/>
            <rFont val="Tahoma"/>
            <family val="2"/>
          </rPr>
          <t>Marlon Velasquez:</t>
        </r>
        <r>
          <rPr>
            <sz val="9"/>
            <color indexed="81"/>
            <rFont val="Tahoma"/>
            <family val="2"/>
          </rPr>
          <t xml:space="preserve">
Porcentaje del Capital Propio en relación con la Inversión </t>
        </r>
      </text>
    </comment>
    <comment ref="G173" authorId="0">
      <text>
        <r>
          <rPr>
            <b/>
            <sz val="9"/>
            <color indexed="81"/>
            <rFont val="Tahoma"/>
            <family val="2"/>
          </rPr>
          <t>Marlon Velasquez:</t>
        </r>
        <r>
          <rPr>
            <sz val="9"/>
            <color indexed="81"/>
            <rFont val="Tahoma"/>
            <family val="2"/>
          </rPr>
          <t xml:space="preserve">
Porcentaje del Préstamo en relación con la Inversión </t>
        </r>
      </text>
    </comment>
    <comment ref="C174" authorId="0">
      <text>
        <r>
          <rPr>
            <b/>
            <sz val="9"/>
            <color indexed="81"/>
            <rFont val="Tahoma"/>
            <family val="2"/>
          </rPr>
          <t>Marlon Velasquez:</t>
        </r>
        <r>
          <rPr>
            <sz val="9"/>
            <color indexed="81"/>
            <rFont val="Tahoma"/>
            <family val="2"/>
          </rPr>
          <t xml:space="preserve">
Es el VAN dividido entre la Inversión</t>
        </r>
      </text>
    </comment>
    <comment ref="G174" authorId="0">
      <text>
        <r>
          <rPr>
            <b/>
            <sz val="9"/>
            <color indexed="81"/>
            <rFont val="Tahoma"/>
            <family val="2"/>
          </rPr>
          <t>Marlon Velasquez:</t>
        </r>
        <r>
          <rPr>
            <sz val="9"/>
            <color indexed="81"/>
            <rFont val="Tahoma"/>
            <family val="2"/>
          </rPr>
          <t xml:space="preserve">
Es la tasa de financiamiento definida por la entidad que presta el dinero.</t>
        </r>
      </text>
    </comment>
    <comment ref="C175" authorId="0">
      <text>
        <r>
          <rPr>
            <b/>
            <sz val="9"/>
            <color indexed="81"/>
            <rFont val="Tahoma"/>
            <family val="2"/>
          </rPr>
          <t>Marlon Velasquez:</t>
        </r>
        <r>
          <rPr>
            <sz val="9"/>
            <color indexed="81"/>
            <rFont val="Tahoma"/>
            <family val="2"/>
          </rPr>
          <t xml:space="preserve">
Viene del Cuadro 11, es el Valor Presente de lo Flujos Positivos del Flujo Neto</t>
        </r>
      </text>
    </comment>
    <comment ref="G175" authorId="0">
      <text>
        <r>
          <rPr>
            <b/>
            <sz val="9"/>
            <color indexed="81"/>
            <rFont val="Tahoma"/>
            <family val="2"/>
          </rPr>
          <t>Marlon Velasquez:</t>
        </r>
        <r>
          <rPr>
            <sz val="9"/>
            <color indexed="81"/>
            <rFont val="Tahoma"/>
            <family val="2"/>
          </rPr>
          <t xml:space="preserve">
La Rentabilidad que espera la empresa se determina tomando en consideración la Tasa libre de riesgo a la mejor opción existente al momento de evaluar el proyecto, a la tasa de retorno esperada para el mercado, al coeficiente BETA y para ciertos análisis se agrega la tasa por riesgo de pais. Para efectos del curso, no se va a entrar en detalle como se hace el cálculo de la Tasa de rentabilidad del Capital propio, sencillamente se indica la tasa.</t>
        </r>
      </text>
    </comment>
    <comment ref="C177" authorId="0">
      <text>
        <r>
          <rPr>
            <b/>
            <sz val="9"/>
            <color indexed="81"/>
            <rFont val="Tahoma"/>
            <family val="2"/>
          </rPr>
          <t>Marlon Velasquez:</t>
        </r>
        <r>
          <rPr>
            <sz val="9"/>
            <color indexed="81"/>
            <rFont val="Tahoma"/>
            <family val="2"/>
          </rPr>
          <t xml:space="preserve">
Viene del Cuadro 11, es el Valor Presente de los Flujos Negativos del Flujo Neto</t>
        </r>
      </text>
    </comment>
    <comment ref="G177" authorId="0">
      <text>
        <r>
          <rPr>
            <b/>
            <sz val="9"/>
            <color indexed="81"/>
            <rFont val="Tahoma"/>
            <family val="2"/>
          </rPr>
          <t>Marlon Velasquez:</t>
        </r>
        <r>
          <rPr>
            <sz val="9"/>
            <color indexed="81"/>
            <rFont val="Tahoma"/>
            <family val="2"/>
          </rPr>
          <t xml:space="preserve">
La tasa Ponderada para el proyecto se obtiene de sumar                                      (Prest/Inv)*Tasa Prest. *(1-T) + (Cap. Prop./Inv)*Tasa Cap. Prop.
La tasa del préstamo siempre la indica la entidad financiera según la línea de crédito y la de capital de trabajo es definida por el propietario según lo indicado en la "Tasa Prést.(5%)" de éste cuadro.</t>
        </r>
      </text>
    </comment>
    <comment ref="C178" authorId="0">
      <text>
        <r>
          <rPr>
            <b/>
            <sz val="9"/>
            <color indexed="81"/>
            <rFont val="Tahoma"/>
            <family val="2"/>
          </rPr>
          <t>Marlon Velasquez:</t>
        </r>
        <r>
          <rPr>
            <sz val="9"/>
            <color indexed="81"/>
            <rFont val="Tahoma"/>
            <family val="2"/>
          </rPr>
          <t xml:space="preserve">
Es la división entre Valor Presente Flujos Positivos y los Negativos.</t>
        </r>
      </text>
    </comment>
  </commentList>
</comments>
</file>

<file path=xl/comments2.xml><?xml version="1.0" encoding="utf-8"?>
<comments xmlns="http://schemas.openxmlformats.org/spreadsheetml/2006/main">
  <authors>
    <author>Marlon Velasquez</author>
  </authors>
  <commentList>
    <comment ref="B28" authorId="0">
      <text>
        <r>
          <rPr>
            <b/>
            <sz val="9"/>
            <color indexed="81"/>
            <rFont val="Tahoma"/>
            <family val="2"/>
          </rPr>
          <t>Marlon Velasquez:</t>
        </r>
        <r>
          <rPr>
            <sz val="9"/>
            <color indexed="81"/>
            <rFont val="Tahoma"/>
            <family val="2"/>
          </rPr>
          <t xml:space="preserve">
Viene de Ventas del Cuadro 3</t>
        </r>
      </text>
    </comment>
    <comment ref="B29" authorId="0">
      <text>
        <r>
          <rPr>
            <b/>
            <sz val="9"/>
            <color indexed="81"/>
            <rFont val="Tahoma"/>
            <family val="2"/>
          </rPr>
          <t>Marlon Velasquez:</t>
        </r>
        <r>
          <rPr>
            <sz val="9"/>
            <color indexed="81"/>
            <rFont val="Tahoma"/>
            <family val="2"/>
          </rPr>
          <t xml:space="preserve">
Es el Resultado de multiplicar la Tasa del Impuesto de Ventas del Cuadro 2 por la Fila de Ventas del Cuadro 6</t>
        </r>
      </text>
    </comment>
    <comment ref="B30" authorId="0">
      <text>
        <r>
          <rPr>
            <b/>
            <sz val="9"/>
            <color indexed="81"/>
            <rFont val="Tahoma"/>
            <family val="2"/>
          </rPr>
          <t>Marlon Velasquez:</t>
        </r>
        <r>
          <rPr>
            <sz val="9"/>
            <color indexed="81"/>
            <rFont val="Tahoma"/>
            <family val="2"/>
          </rPr>
          <t xml:space="preserve">
Es el resultado de multiplicar la suma de Costos Variables y Costo Fijos del Cuadro 6 por el Impuesto de Ventas del Cuadro 2</t>
        </r>
      </text>
    </comment>
    <comment ref="B31" authorId="0">
      <text>
        <r>
          <rPr>
            <b/>
            <sz val="9"/>
            <color indexed="81"/>
            <rFont val="Tahoma"/>
            <family val="2"/>
          </rPr>
          <t>Marlon Velasquez:</t>
        </r>
        <r>
          <rPr>
            <sz val="9"/>
            <color indexed="81"/>
            <rFont val="Tahoma"/>
            <family val="2"/>
          </rPr>
          <t xml:space="preserve">
Es el resultado de multiplicar la Fila de Ventas del Cuadro 6 por el Impuesto a las Transacciones del Cuadro 2</t>
        </r>
      </text>
    </comment>
    <comment ref="B34" authorId="0">
      <text>
        <r>
          <rPr>
            <b/>
            <sz val="9"/>
            <color indexed="81"/>
            <rFont val="Tahoma"/>
            <family val="2"/>
          </rPr>
          <t>Marlon Velasquez:</t>
        </r>
        <r>
          <rPr>
            <sz val="9"/>
            <color indexed="81"/>
            <rFont val="Tahoma"/>
            <family val="2"/>
          </rPr>
          <t xml:space="preserve">
Viene del Cuadro 3
</t>
        </r>
      </text>
    </comment>
    <comment ref="B35" authorId="0">
      <text>
        <r>
          <rPr>
            <b/>
            <sz val="9"/>
            <color indexed="81"/>
            <rFont val="Tahoma"/>
            <family val="2"/>
          </rPr>
          <t>Marlon Velasquez:</t>
        </r>
        <r>
          <rPr>
            <sz val="9"/>
            <color indexed="81"/>
            <rFont val="Tahoma"/>
            <family val="2"/>
          </rPr>
          <t xml:space="preserve">
Viene del Cuadro 3
</t>
        </r>
      </text>
    </comment>
    <comment ref="B37" authorId="0">
      <text>
        <r>
          <rPr>
            <b/>
            <sz val="9"/>
            <color indexed="81"/>
            <rFont val="Tahoma"/>
            <family val="2"/>
          </rPr>
          <t>Marlon Velasquez:</t>
        </r>
        <r>
          <rPr>
            <sz val="9"/>
            <color indexed="81"/>
            <rFont val="Tahoma"/>
            <family val="2"/>
          </rPr>
          <t xml:space="preserve">
Viene del Cuadro 4
</t>
        </r>
      </text>
    </comment>
    <comment ref="B40" authorId="0">
      <text>
        <r>
          <rPr>
            <b/>
            <sz val="9"/>
            <color indexed="81"/>
            <rFont val="Tahoma"/>
            <family val="2"/>
          </rPr>
          <t>Marlon Velasquez:</t>
        </r>
        <r>
          <rPr>
            <sz val="9"/>
            <color indexed="81"/>
            <rFont val="Tahoma"/>
            <family val="2"/>
          </rPr>
          <t xml:space="preserve">
Es el resultado de multiplicar la Utilidad Bruta del Cuadro 10 por el Impuesto a las Utilidades del Cuadro 2 (22%)</t>
        </r>
      </text>
    </comment>
    <comment ref="B45" authorId="0">
      <text>
        <r>
          <rPr>
            <b/>
            <sz val="9"/>
            <color indexed="81"/>
            <rFont val="Tahoma"/>
            <family val="2"/>
          </rPr>
          <t>Marlon Velasquez:</t>
        </r>
        <r>
          <rPr>
            <sz val="9"/>
            <color indexed="81"/>
            <rFont val="Tahoma"/>
            <family val="2"/>
          </rPr>
          <t xml:space="preserve">
Viene del Cuadro 1, es negativo por ser un egreso</t>
        </r>
      </text>
    </comment>
    <comment ref="C45" authorId="0">
      <text>
        <r>
          <rPr>
            <b/>
            <sz val="9"/>
            <color indexed="81"/>
            <rFont val="Tahoma"/>
            <family val="2"/>
          </rPr>
          <t>Marlon Velasquez:</t>
        </r>
        <r>
          <rPr>
            <sz val="9"/>
            <color indexed="81"/>
            <rFont val="Tahoma"/>
            <family val="2"/>
          </rPr>
          <t xml:space="preserve">
Viene del Cuadro 5</t>
        </r>
      </text>
    </comment>
    <comment ref="C46" authorId="0">
      <text>
        <r>
          <rPr>
            <b/>
            <sz val="9"/>
            <color indexed="81"/>
            <rFont val="Tahoma"/>
            <family val="2"/>
          </rPr>
          <t>Marlon Velasquez:</t>
        </r>
        <r>
          <rPr>
            <sz val="9"/>
            <color indexed="81"/>
            <rFont val="Tahoma"/>
            <family val="2"/>
          </rPr>
          <t xml:space="preserve">
Viene de Ingreso Neto del Cuadro 6</t>
        </r>
      </text>
    </comment>
    <comment ref="C47" authorId="0">
      <text>
        <r>
          <rPr>
            <b/>
            <sz val="9"/>
            <color indexed="81"/>
            <rFont val="Tahoma"/>
            <family val="2"/>
          </rPr>
          <t>Marlon Velasquez:</t>
        </r>
        <r>
          <rPr>
            <sz val="9"/>
            <color indexed="81"/>
            <rFont val="Tahoma"/>
            <family val="2"/>
          </rPr>
          <t xml:space="preserve">
Viene de Costos Operativos del Cuadro 6</t>
        </r>
      </text>
    </comment>
    <comment ref="C48" authorId="0">
      <text>
        <r>
          <rPr>
            <b/>
            <sz val="9"/>
            <color indexed="81"/>
            <rFont val="Tahoma"/>
            <family val="2"/>
          </rPr>
          <t>Marlon Velasquez:</t>
        </r>
        <r>
          <rPr>
            <sz val="9"/>
            <color indexed="81"/>
            <rFont val="Tahoma"/>
            <family val="2"/>
          </rPr>
          <t xml:space="preserve">
Viene del Cuadro 9</t>
        </r>
      </text>
    </comment>
    <comment ref="C49" authorId="0">
      <text>
        <r>
          <rPr>
            <b/>
            <sz val="9"/>
            <color indexed="81"/>
            <rFont val="Tahoma"/>
            <family val="2"/>
          </rPr>
          <t>Marlon Velasquez:</t>
        </r>
        <r>
          <rPr>
            <sz val="9"/>
            <color indexed="81"/>
            <rFont val="Tahoma"/>
            <family val="2"/>
          </rPr>
          <t xml:space="preserve">
A los Ingresos se le resta los Costos Operativos, los Costos Financieros, la Depreciación, y al resultado se le multiplica por 25% de impuestos</t>
        </r>
      </text>
    </comment>
    <comment ref="L50" authorId="0">
      <text>
        <r>
          <rPr>
            <b/>
            <sz val="9"/>
            <color indexed="81"/>
            <rFont val="Tahoma"/>
            <charset val="1"/>
          </rPr>
          <t>Marlon Velasquez:</t>
        </r>
        <r>
          <rPr>
            <sz val="9"/>
            <color indexed="81"/>
            <rFont val="Tahoma"/>
            <charset val="1"/>
          </rPr>
          <t xml:space="preserve">
Viene del Valor de Desecho de las Obras Civiles del Cuadro 4</t>
        </r>
      </text>
    </comment>
    <comment ref="B51" authorId="0">
      <text>
        <r>
          <rPr>
            <b/>
            <sz val="9"/>
            <color indexed="81"/>
            <rFont val="Tahoma"/>
            <family val="2"/>
          </rPr>
          <t>Marlon Velasquez:</t>
        </r>
        <r>
          <rPr>
            <sz val="9"/>
            <color indexed="81"/>
            <rFont val="Tahoma"/>
            <family val="2"/>
          </rPr>
          <t xml:space="preserve">
Viene del Cuadro 8
</t>
        </r>
      </text>
    </comment>
    <comment ref="C52" authorId="0">
      <text>
        <r>
          <rPr>
            <b/>
            <sz val="9"/>
            <color indexed="81"/>
            <rFont val="Tahoma"/>
            <family val="2"/>
          </rPr>
          <t>Marlon Velasquez:</t>
        </r>
        <r>
          <rPr>
            <sz val="9"/>
            <color indexed="81"/>
            <rFont val="Tahoma"/>
            <family val="2"/>
          </rPr>
          <t xml:space="preserve">
Viene del Cuadro 9
</t>
        </r>
      </text>
    </comment>
    <comment ref="B57" authorId="0">
      <text>
        <r>
          <rPr>
            <b/>
            <sz val="9"/>
            <color indexed="81"/>
            <rFont val="Tahoma"/>
            <family val="2"/>
          </rPr>
          <t>Marlon Velasquez:</t>
        </r>
        <r>
          <rPr>
            <sz val="9"/>
            <color indexed="81"/>
            <rFont val="Tahoma"/>
            <family val="2"/>
          </rPr>
          <t xml:space="preserve">
Es el Valor de todos flujos traídos a valor presente con la tasa ponderada del proyecto</t>
        </r>
      </text>
    </comment>
    <comment ref="F57" authorId="0">
      <text>
        <r>
          <rPr>
            <b/>
            <sz val="9"/>
            <color indexed="81"/>
            <rFont val="Tahoma"/>
            <family val="2"/>
          </rPr>
          <t>Marlon Velasquez:</t>
        </r>
        <r>
          <rPr>
            <sz val="9"/>
            <color indexed="81"/>
            <rFont val="Tahoma"/>
            <family val="2"/>
          </rPr>
          <t xml:space="preserve">
Viene del Cuadro 11 de la línea de Inversión en el Año 0.</t>
        </r>
      </text>
    </comment>
    <comment ref="B58" authorId="0">
      <text>
        <r>
          <rPr>
            <b/>
            <sz val="9"/>
            <color indexed="81"/>
            <rFont val="Tahoma"/>
            <family val="2"/>
          </rPr>
          <t>Marlon Velasquez:</t>
        </r>
        <r>
          <rPr>
            <sz val="9"/>
            <color indexed="81"/>
            <rFont val="Tahoma"/>
            <family val="2"/>
          </rPr>
          <t xml:space="preserve">
Por ser un proyecto financiado, entonces se calcula una tasa ponderada entre la tasa de Rendimiento que quiere el inversionista y la tasa de financiamiento.</t>
        </r>
      </text>
    </comment>
    <comment ref="F58" authorId="0">
      <text>
        <r>
          <rPr>
            <b/>
            <sz val="9"/>
            <color indexed="81"/>
            <rFont val="Tahoma"/>
            <family val="2"/>
          </rPr>
          <t>Marlon Velasquez:</t>
        </r>
        <r>
          <rPr>
            <sz val="9"/>
            <color indexed="81"/>
            <rFont val="Tahoma"/>
            <family val="2"/>
          </rPr>
          <t xml:space="preserve">
Viene del Cuadro 11 de la línea de Préstamo o Deuda en el Año 0.</t>
        </r>
      </text>
    </comment>
    <comment ref="B59" authorId="0">
      <text>
        <r>
          <rPr>
            <b/>
            <sz val="9"/>
            <color indexed="81"/>
            <rFont val="Tahoma"/>
            <family val="2"/>
          </rPr>
          <t>Marlon Velasquez:</t>
        </r>
        <r>
          <rPr>
            <sz val="9"/>
            <color indexed="81"/>
            <rFont val="Tahoma"/>
            <family val="2"/>
          </rPr>
          <t xml:space="preserve">
Es la tasa donde el VAN del proyecto se hace 0.</t>
        </r>
      </text>
    </comment>
    <comment ref="F59" authorId="0">
      <text>
        <r>
          <rPr>
            <b/>
            <sz val="9"/>
            <color indexed="81"/>
            <rFont val="Tahoma"/>
            <family val="2"/>
          </rPr>
          <t>Marlon Velasquez:</t>
        </r>
        <r>
          <rPr>
            <sz val="9"/>
            <color indexed="81"/>
            <rFont val="Tahoma"/>
            <family val="2"/>
          </rPr>
          <t xml:space="preserve">
Diferencia entre la Inversión y el Préstamo</t>
        </r>
      </text>
    </comment>
    <comment ref="F60" authorId="0">
      <text>
        <r>
          <rPr>
            <b/>
            <sz val="9"/>
            <color indexed="81"/>
            <rFont val="Tahoma"/>
            <family val="2"/>
          </rPr>
          <t>Marlon Velasquez:</t>
        </r>
        <r>
          <rPr>
            <sz val="9"/>
            <color indexed="81"/>
            <rFont val="Tahoma"/>
            <family val="2"/>
          </rPr>
          <t xml:space="preserve">
Porcentaje del Capital Propio en relación con la Inversión </t>
        </r>
      </text>
    </comment>
    <comment ref="F61" authorId="0">
      <text>
        <r>
          <rPr>
            <b/>
            <sz val="9"/>
            <color indexed="81"/>
            <rFont val="Tahoma"/>
            <family val="2"/>
          </rPr>
          <t>Marlon Velasquez:</t>
        </r>
        <r>
          <rPr>
            <sz val="9"/>
            <color indexed="81"/>
            <rFont val="Tahoma"/>
            <family val="2"/>
          </rPr>
          <t xml:space="preserve">
Porcentaje del Préstamo en relación con la Inversión </t>
        </r>
      </text>
    </comment>
    <comment ref="B62" authorId="0">
      <text>
        <r>
          <rPr>
            <b/>
            <sz val="9"/>
            <color indexed="81"/>
            <rFont val="Tahoma"/>
            <family val="2"/>
          </rPr>
          <t>Marlon Velasquez:</t>
        </r>
        <r>
          <rPr>
            <sz val="9"/>
            <color indexed="81"/>
            <rFont val="Tahoma"/>
            <family val="2"/>
          </rPr>
          <t xml:space="preserve">
Es el VAN dividido entre la Inversión</t>
        </r>
      </text>
    </comment>
    <comment ref="F62" authorId="0">
      <text>
        <r>
          <rPr>
            <b/>
            <sz val="9"/>
            <color indexed="81"/>
            <rFont val="Tahoma"/>
            <family val="2"/>
          </rPr>
          <t>Marlon Velasquez:</t>
        </r>
        <r>
          <rPr>
            <sz val="9"/>
            <color indexed="81"/>
            <rFont val="Tahoma"/>
            <family val="2"/>
          </rPr>
          <t xml:space="preserve">
Es la tasa de financiamiento definida por la entidad que presta el dinero.</t>
        </r>
      </text>
    </comment>
    <comment ref="B63" authorId="0">
      <text>
        <r>
          <rPr>
            <b/>
            <sz val="9"/>
            <color indexed="81"/>
            <rFont val="Tahoma"/>
            <family val="2"/>
          </rPr>
          <t>Marlon Velasquez:</t>
        </r>
        <r>
          <rPr>
            <sz val="9"/>
            <color indexed="81"/>
            <rFont val="Tahoma"/>
            <family val="2"/>
          </rPr>
          <t xml:space="preserve">
Viene del Cuadro 11, es el Valor Presente de lo Flujos Positivos del Flujo Neto</t>
        </r>
      </text>
    </comment>
    <comment ref="F63" authorId="0">
      <text>
        <r>
          <rPr>
            <b/>
            <sz val="9"/>
            <color indexed="81"/>
            <rFont val="Tahoma"/>
            <family val="2"/>
          </rPr>
          <t>Marlon Velasquez:</t>
        </r>
        <r>
          <rPr>
            <sz val="9"/>
            <color indexed="81"/>
            <rFont val="Tahoma"/>
            <family val="2"/>
          </rPr>
          <t xml:space="preserve">
La Rentabilidad que espera la empresa se determina tomando en consideración la Tasa libre de riesgo a la mejor opción existente al momento de evaluar el proyecto, a la tasa de retorno esperada para el mercado, al coeficiente BETA y para ciertos análisis se agrega la tasa por por riesgo de pais. Para efectos del curso, no se va a entrar en detalle como se hace el cálculo de la Tasa de rentabilidad del Capital propio, sencillamente se indica la tasa.</t>
        </r>
      </text>
    </comment>
    <comment ref="B64" authorId="0">
      <text>
        <r>
          <rPr>
            <b/>
            <sz val="9"/>
            <color indexed="81"/>
            <rFont val="Tahoma"/>
            <family val="2"/>
          </rPr>
          <t>Marlon Velasquez:</t>
        </r>
        <r>
          <rPr>
            <sz val="9"/>
            <color indexed="81"/>
            <rFont val="Tahoma"/>
            <family val="2"/>
          </rPr>
          <t xml:space="preserve">
Viene del Cuadro 11, es el Valor Presente de los Flujos Negativos del Flujo Neto</t>
        </r>
      </text>
    </comment>
    <comment ref="F64" authorId="0">
      <text>
        <r>
          <rPr>
            <b/>
            <sz val="9"/>
            <color indexed="81"/>
            <rFont val="Tahoma"/>
            <family val="2"/>
          </rPr>
          <t>Marlon Velasquez:</t>
        </r>
        <r>
          <rPr>
            <sz val="9"/>
            <color indexed="81"/>
            <rFont val="Tahoma"/>
            <family val="2"/>
          </rPr>
          <t xml:space="preserve">
La tasa Ponderada para el proyecto se obtiene de sumar                                      (Prest/Inv)*Tasa Prest. + (Cap. Prop./Inv)*Tasa Cap. Prop</t>
        </r>
      </text>
    </comment>
    <comment ref="B65" authorId="0">
      <text>
        <r>
          <rPr>
            <b/>
            <sz val="9"/>
            <color indexed="81"/>
            <rFont val="Tahoma"/>
            <family val="2"/>
          </rPr>
          <t>Marlon Velasquez:</t>
        </r>
        <r>
          <rPr>
            <sz val="9"/>
            <color indexed="81"/>
            <rFont val="Tahoma"/>
            <family val="2"/>
          </rPr>
          <t xml:space="preserve">
Es la división entre Valor Presente Flujos Positivos y los Negativos.</t>
        </r>
      </text>
    </comment>
  </commentList>
</comments>
</file>

<file path=xl/sharedStrings.xml><?xml version="1.0" encoding="utf-8"?>
<sst xmlns="http://schemas.openxmlformats.org/spreadsheetml/2006/main" count="297" uniqueCount="167">
  <si>
    <t>Cuadro 1 Costos de Inversión</t>
  </si>
  <si>
    <t>Inversiones</t>
  </si>
  <si>
    <t>$US</t>
  </si>
  <si>
    <t>Vida útil (años)</t>
  </si>
  <si>
    <t>Terrenos</t>
  </si>
  <si>
    <t>Obras civiles</t>
  </si>
  <si>
    <t>Equipos:</t>
  </si>
  <si>
    <t>Equipo A</t>
  </si>
  <si>
    <t>Equipo B</t>
  </si>
  <si>
    <t>Equipo C</t>
  </si>
  <si>
    <t>Total de Inversiones</t>
  </si>
  <si>
    <t>Cuadro 2 Datos Generales</t>
  </si>
  <si>
    <t>Cantidad a vender al 100% (u/año) =</t>
  </si>
  <si>
    <t>Precio de venta ($us/u) =</t>
  </si>
  <si>
    <t>Costo variable ($us/u) =</t>
  </si>
  <si>
    <t>Costo fijo ($us/año) =</t>
  </si>
  <si>
    <t>Impuestos Ventas (IVA)</t>
  </si>
  <si>
    <t>Impuestos Transacciones (IT)</t>
  </si>
  <si>
    <t>Impuestos a las Utilidades</t>
  </si>
  <si>
    <t>Cuadro 3 Flujo de Caja Inicial</t>
  </si>
  <si>
    <t>Año</t>
  </si>
  <si>
    <t>Progr. Prod. (%)</t>
  </si>
  <si>
    <t>Producción (u)</t>
  </si>
  <si>
    <t>Ventas ($us)</t>
  </si>
  <si>
    <t>Costo Var. ($us)</t>
  </si>
  <si>
    <t>Costo Fijo ($us)</t>
  </si>
  <si>
    <t>Cuadro 4 Depreciación de Activos</t>
  </si>
  <si>
    <t>V. Desecho</t>
  </si>
  <si>
    <t>Costo ($us)</t>
  </si>
  <si>
    <t>V. U. (años)</t>
  </si>
  <si>
    <t>Dep. Lin.</t>
  </si>
  <si>
    <t>Año 5</t>
  </si>
  <si>
    <t>Año 10</t>
  </si>
  <si>
    <t>Total Depreciación por año</t>
  </si>
  <si>
    <t>Cuadro 5 Capital de Trabajo</t>
  </si>
  <si>
    <t>Capital de Trabajo año 1:</t>
  </si>
  <si>
    <t>%</t>
  </si>
  <si>
    <t>Año 1</t>
  </si>
  <si>
    <t>Activo Circulante ($us):</t>
  </si>
  <si>
    <t>25 % ventas</t>
  </si>
  <si>
    <t>Pasivo Circulante ($us):</t>
  </si>
  <si>
    <t>30 % costos operativos</t>
  </si>
  <si>
    <t xml:space="preserve">Capital de Trabajo ($us) = </t>
  </si>
  <si>
    <t>Act.C.- Pas. C</t>
  </si>
  <si>
    <t>Cuadro 6 Cuenta de Resultados</t>
  </si>
  <si>
    <t>CONCEPTO</t>
  </si>
  <si>
    <t>Ventas</t>
  </si>
  <si>
    <t>IVA Ventas (11%)</t>
  </si>
  <si>
    <t>IVA Compras (11%)</t>
  </si>
  <si>
    <t>IT (2%)</t>
  </si>
  <si>
    <t>INGRESO NETO (1)</t>
  </si>
  <si>
    <t>Costos Operativos</t>
  </si>
  <si>
    <t>Costos Variables</t>
  </si>
  <si>
    <t>Costo fijo</t>
  </si>
  <si>
    <t>Costo No operat.</t>
  </si>
  <si>
    <t xml:space="preserve">Depreciación </t>
  </si>
  <si>
    <t>UTILIDAD BRUTA</t>
  </si>
  <si>
    <t>I. U. E. (22%)</t>
  </si>
  <si>
    <t>UTILIDAD NETA</t>
  </si>
  <si>
    <t>Cuadro 7 Flujo de Caja del Proyecto de Inversión</t>
  </si>
  <si>
    <t>Inversión</t>
  </si>
  <si>
    <t>Ingresos</t>
  </si>
  <si>
    <t>Costos Operat.</t>
  </si>
  <si>
    <t>Impuestos</t>
  </si>
  <si>
    <t>Valor Desecho</t>
  </si>
  <si>
    <t>Flujo Neto</t>
  </si>
  <si>
    <t>Valor Actual Neto VAN (17%)=</t>
  </si>
  <si>
    <t xml:space="preserve">Tasa Interna de Retorno TIR = </t>
  </si>
  <si>
    <t>SI DECIDIMOS FINANCIAR EL PROYECTO</t>
  </si>
  <si>
    <t>Cuadro 8 Información Financiera y Cuota</t>
  </si>
  <si>
    <t>Inversión fija=</t>
  </si>
  <si>
    <t>Préstamo(P) =</t>
  </si>
  <si>
    <t>interés(i) =</t>
  </si>
  <si>
    <t>Años(n) =</t>
  </si>
  <si>
    <t>Cuota (C)=</t>
  </si>
  <si>
    <t>Cuadro 9 Pagos de Deuda</t>
  </si>
  <si>
    <t>Deuda o Saldo</t>
  </si>
  <si>
    <t>Cuota</t>
  </si>
  <si>
    <t>Intereses</t>
  </si>
  <si>
    <t>Amortización</t>
  </si>
  <si>
    <t>Cuadro 10 Cuenta de Resultados con Financiamiento</t>
  </si>
  <si>
    <t>Costo Financiero (Intereses)</t>
  </si>
  <si>
    <t>Cuadro 11 Flujo de Caja del Proyecto de Inversión con Financiamiento</t>
  </si>
  <si>
    <t>Préstamo o Deuda</t>
  </si>
  <si>
    <t>Préstamo</t>
  </si>
  <si>
    <t>Capital Propio</t>
  </si>
  <si>
    <t>Descripción</t>
  </si>
  <si>
    <t>Datos</t>
  </si>
  <si>
    <t>Tasa Rendimiento Capital Propio</t>
  </si>
  <si>
    <t>Valor Presente Flujos Positivos</t>
  </si>
  <si>
    <t>Valor Presente Flujos Negativos</t>
  </si>
  <si>
    <t xml:space="preserve">Indice Deseabilidad </t>
  </si>
  <si>
    <t>INDICADORES FINANCIEROS SIN FINANCIAMIENTO</t>
  </si>
  <si>
    <t>Prést/Inver (%)</t>
  </si>
  <si>
    <t>Cap.Prop./Inv (%)</t>
  </si>
  <si>
    <t>Tasa Prést. (%)</t>
  </si>
  <si>
    <t>Tasa Cap. Prop (%)</t>
  </si>
  <si>
    <t>INDICADORES FINANCIEROS CON FINANCIAMIENTO</t>
  </si>
  <si>
    <t>CÁLCULO DE LA TASA</t>
  </si>
  <si>
    <t>Tasa Ponderada del Proyecto</t>
  </si>
  <si>
    <t>Tasa Ponderada (%)</t>
  </si>
  <si>
    <t>VAN</t>
  </si>
  <si>
    <t>Rentabilidad</t>
  </si>
  <si>
    <t>Costo Beneficio</t>
  </si>
  <si>
    <t>ANÁLISIS DE SENSIBILIDAD</t>
  </si>
  <si>
    <t>Aumento o Disminución de Inversión</t>
  </si>
  <si>
    <t>Aumento o Disminución de Ingresos</t>
  </si>
  <si>
    <t>Aumento o Disminución de Tasas de Interés</t>
  </si>
  <si>
    <t>Aum. o Dism.%</t>
  </si>
  <si>
    <t>Dism.10%</t>
  </si>
  <si>
    <t>Dism.5%</t>
  </si>
  <si>
    <t>Aum. 5%</t>
  </si>
  <si>
    <t>Aum. 10%</t>
  </si>
  <si>
    <t>Aumento o Disminución de Costos Variables</t>
  </si>
  <si>
    <t>Aumento o Disminución de Costos Fijos</t>
  </si>
  <si>
    <t>Desv.% (-)</t>
  </si>
  <si>
    <t>Desv.% (+)</t>
  </si>
  <si>
    <t>Condición Sensibilidad</t>
  </si>
  <si>
    <t>Alta</t>
  </si>
  <si>
    <t>Media</t>
  </si>
  <si>
    <t>Baja</t>
  </si>
  <si>
    <t>Variable de sensibilidad</t>
  </si>
  <si>
    <t>Costos Fijos</t>
  </si>
  <si>
    <t>Tasa interés</t>
  </si>
  <si>
    <t>PRACTICA</t>
  </si>
  <si>
    <t>PASOS</t>
  </si>
  <si>
    <t>5. Practique con un aumento y disminución de las variables de un 5%, para que observen su sensibilidad.</t>
  </si>
  <si>
    <t>6. Por otro lado, puede también poner una combinanción de aumento o disminución de las variables a la vez, solo que para ello tendrían que montar los cuadros del VAN específicos para cada escenario.</t>
  </si>
  <si>
    <r>
      <rPr>
        <b/>
        <sz val="11"/>
        <color theme="1"/>
        <rFont val="Calibri"/>
        <family val="2"/>
        <scheme val="minor"/>
      </rPr>
      <t>NOTA</t>
    </r>
    <r>
      <rPr>
        <sz val="11"/>
        <color theme="1"/>
        <rFont val="Calibri"/>
        <family val="2"/>
        <scheme val="minor"/>
      </rPr>
      <t>: El ejemplo es el mismo visto en el Flujo de Caja, solo que tiene aplicada las fórmulas para afectar porcentualmente según las variables analizadas.</t>
    </r>
  </si>
  <si>
    <t>CUADRO 12 INDICADORES FINANCIEROS CON FINANCIAMIENTO</t>
  </si>
  <si>
    <t>CUADRO 13 CÁLCULO DE LA TASA</t>
  </si>
  <si>
    <t>CUADRO 14 Aumento o Diminución de variables y el VAN</t>
  </si>
  <si>
    <t>CUADRO 15 -VAN, VAN, +VAN</t>
  </si>
  <si>
    <t>CUADRO 16 variación % VAN y Sensibilidad</t>
  </si>
  <si>
    <t>1. Identificar que las variables de sensibilidad a analizar son la Inversión, los Ingresos, los Costos Variables, los Costos Fijos y la Tasa de Interés (Ver Cuadro 14)</t>
  </si>
  <si>
    <t>2. En la casilla  B71 (Cuadro 14)se indica el porcentaje que estaría variando el rubro de Inversión, por ejemplo si disminuye un 10% se pone -10%, y el resultado del VAN (casilla C71) se escribe en la casilla B88, eso sí, las casillas subsiguientes deben estar en 0%. De igual forma se hace con el aumento de 10% se pone 10%, y el resultado se escribe en la casilla D88.</t>
  </si>
  <si>
    <t>4. En el Cuadro 16, van a observar automáticamente como se comporta el VAN del proyecto, o sea que tan sensible es según la variable que se analice.</t>
  </si>
  <si>
    <t>3. Se hace lo mismo con las otras variables, pero recuerde que cuando ingrese los datos, las demás deben estar en 0%, y el dato del VAN se pone en la casilla correspondiente de la columna B (disminución) o D(aumento) del Cuado 15.</t>
  </si>
  <si>
    <t>Este cuadro recoge toda la información relacionada con los activos fijos que requiere el proyecto y que se van a depreciar según la vida útil de cada uno de ellos.</t>
  </si>
  <si>
    <t>Flujo del Accionista</t>
  </si>
  <si>
    <t>Vida útil</t>
  </si>
  <si>
    <t>30 años</t>
  </si>
  <si>
    <t>10 años</t>
  </si>
  <si>
    <t xml:space="preserve">Impuesto "T"(%) </t>
  </si>
  <si>
    <t>Impuestos a utilidades(22%)</t>
  </si>
  <si>
    <t>Impuestos a utilidades</t>
  </si>
  <si>
    <t>Impuestos a utilidades (22%)</t>
  </si>
  <si>
    <t>Equipos</t>
  </si>
  <si>
    <t>CASO "La Mueblería"</t>
  </si>
  <si>
    <t>% Préstamo sobre Inversión</t>
  </si>
  <si>
    <t>Una empresa industrial, desea invertir en un proyecto de fabricación de muebles de madera para exportación, y se cuenta con la siguiente información:                                                                                                                                                                               La vida útil del proyecto de inversión es de 10 años, el programa de producción se prevé de la siguiente manera: 
Año 1: 60 % capacidad instalada
Año 2: 80 % capacidad instalada
Año 3 al 10: 100 % capacidad instalada
Se tienen activos corrientes valorados al 25 % de las ventas y pasivos corrientes valorados al 30 % de los costos operativos.
Cantidad a vender 5000 u/año al 100 % de capacidad instalada y precio de venta 80 $us/unidad.
Costo variable facturado es de 25 $us/unidad y costo fijo de 30000 $us/año.
El impuesto sobre utilidades tiene una alícuota de 22 %, se tiene además IVA (11%) y el Impuesto a las Transacciones (2%).
El costo de capital para la empresa es de 18 %.
La depreciación de los activos se hará por el método de la línea recta. El valor de mercado al final de la vida útil del proyecto para las obras civiles es igual al valor contable y para el equipo A y el equipo B es de 10 % y 20 % del valor de compra respectivamente.
Se pide determinar: 
El flujo de caja relevante de la inversión
Si el proyecto considera un préstamo del 70 % de la inversión fija con las siguientes condiciones: tasa de interés 11 % anual, 10 años de plazo, pagadero anualmente con amortizaciones iguales. ¿Cuál será el efecto del apalancamiento financiero?</t>
  </si>
  <si>
    <t>El Cuadro 2 recoge la información escencial para el desarrollo del caso, y las fórmulas están ligadas a la misma.</t>
  </si>
  <si>
    <t>En el Cuadro 3 se indica lo que produce y vende a la vez la mueblería, y se estima a su vez los costos que produce, tanto fijos como los variables que están relacionados con la producción</t>
  </si>
  <si>
    <t>El Cuadro 4 calcula la Depreciación de los Activos de forma lineal, donde el valor del activo se divide entre la vida útil en años.</t>
  </si>
  <si>
    <t>En el Cuadro 5 se establece el capital de trabajo para que la empresa inicie sus operaciones, para éste caso se supone que solo va requerir dicho capital para el año 1 y luego se mantiene igual, o sea no hay variaciones, por eso se pone igual a 0.</t>
  </si>
  <si>
    <t>En el Cuadro 6, lo que nos interesa es calcular solamente los impuestos a las utilidades, y se parte del principio que la información de la cuenta de resultados se aplica igual en tiempo el flujo de efectivo.</t>
  </si>
  <si>
    <t>Capital de Trabajo</t>
  </si>
  <si>
    <t>En el Cuadro 7 se resume todos lo flujos para obtener el Flujo Neto Efectivo sin financiamiento</t>
  </si>
  <si>
    <t>En el Cuadro 8 se establece el porcentaje de la inversión que se financiará por medio de un endeudamiento y la tasa de la deuda.</t>
  </si>
  <si>
    <t>En el Cuadro 9 se calcula la cuota a pagar por la deuda y se deglosa en amortización e intereses.</t>
  </si>
  <si>
    <t>En el Cuadro 10, lo que nos interesa es calcular solamente los impuestos a las utilidades, y se parte del principio que la información de la cuenta de resultados se aplica igual en tiempo el flujo de efectivo, pero en éste caso se le agregan los intereses.</t>
  </si>
  <si>
    <t>En el Cuadro 11 se resume todos lo flujos para obtener el Flujo Neto Efectivo con financiamiento, pero se calcula con una tasa Ponderada.</t>
  </si>
  <si>
    <t>En este cuadro se calcula la Tasa Ponderada que represente las condiciones establecidas de endeudamiento e impuestos</t>
  </si>
  <si>
    <t>En este Cuadro se resume los indicadores más importante para efectos de análisis financiero que son el VAN, la TIR, Rentabilidad y el índice de Deseabilidad con finnaciamiento</t>
  </si>
  <si>
    <t>En este Cuadro se resume los indicadores más importante para efectos de análisis financiero que son el VAN, la TIR, Rentabilidad y el índice de Deseabilidad. En el caso del VAN, solo se aplica la tasa de Capital Propio</t>
  </si>
  <si>
    <t xml:space="preserve">Valor Actual Neto VAN </t>
  </si>
  <si>
    <t>SENCILLAMENTE, ANALICEN Y SAQUEN SUS CONCLUSIONES CON LOS PROYECTOS CON O SIN FINANCIAMIENTO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</si>
</sst>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_);[Red]\(&quot;$&quot;#,##0.00\)"/>
    <numFmt numFmtId="43" formatCode="_(* #,##0.00_);_(* \(#,##0.00\);_(* &quot;-&quot;??_);_(@_)"/>
    <numFmt numFmtId="164" formatCode="#,##0.0"/>
    <numFmt numFmtId="165" formatCode="#,##0.0000"/>
    <numFmt numFmtId="166" formatCode="#,##0.000000"/>
    <numFmt numFmtId="167" formatCode="#,##0.0000000"/>
    <numFmt numFmtId="168" formatCode="_(* #,##0.0000_);_(* \(#,##0.0000\);_(* &quot;-&quot;??_);_(@_)"/>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rial"/>
      <family val="2"/>
    </font>
    <font>
      <b/>
      <sz val="14"/>
      <color theme="1"/>
      <name val="Arial"/>
      <family val="2"/>
    </font>
    <font>
      <sz val="26"/>
      <color theme="1"/>
      <name val="Arial"/>
      <family val="2"/>
    </font>
    <font>
      <b/>
      <sz val="11"/>
      <color theme="1"/>
      <name val="Arial"/>
      <family val="2"/>
    </font>
    <font>
      <sz val="11"/>
      <color theme="1"/>
      <name val="Arial"/>
      <family val="2"/>
    </font>
    <font>
      <b/>
      <sz val="26"/>
      <color theme="1"/>
      <name val="Arial"/>
      <family val="2"/>
    </font>
    <font>
      <sz val="12"/>
      <color theme="1"/>
      <name val="Calibri"/>
      <family val="2"/>
      <scheme val="minor"/>
    </font>
    <font>
      <sz val="12"/>
      <color theme="1"/>
      <name val="Arial"/>
      <family val="2"/>
    </font>
    <font>
      <b/>
      <sz val="11"/>
      <color rgb="FFFF0000"/>
      <name val="Arial"/>
      <family val="2"/>
    </font>
    <font>
      <b/>
      <sz val="12"/>
      <color theme="1"/>
      <name val="Arial"/>
      <family val="2"/>
    </font>
    <font>
      <b/>
      <sz val="16"/>
      <color theme="1"/>
      <name val="Calibri"/>
      <family val="2"/>
      <scheme val="minor"/>
    </font>
    <font>
      <b/>
      <sz val="9"/>
      <color indexed="81"/>
      <name val="Tahoma"/>
      <family val="2"/>
    </font>
    <font>
      <sz val="9"/>
      <color indexed="81"/>
      <name val="Tahoma"/>
      <family val="2"/>
    </font>
    <font>
      <b/>
      <sz val="9"/>
      <color indexed="81"/>
      <name val="Tahoma"/>
      <charset val="1"/>
    </font>
    <font>
      <sz val="9"/>
      <color indexed="81"/>
      <name val="Tahoma"/>
      <charset val="1"/>
    </font>
    <font>
      <sz val="12"/>
      <color rgb="FF000000"/>
      <name val="Arial"/>
      <family val="2"/>
    </font>
    <font>
      <b/>
      <sz val="14"/>
      <color rgb="FF003366"/>
      <name val="Arial"/>
      <family val="2"/>
    </font>
    <font>
      <b/>
      <sz val="14"/>
      <color rgb="FFFFFFFF"/>
      <name val="Arial"/>
      <family val="2"/>
    </font>
    <font>
      <b/>
      <sz val="11"/>
      <color rgb="FFFFFFFF"/>
      <name val="Arial"/>
      <family val="2"/>
    </font>
    <font>
      <sz val="11"/>
      <color rgb="FF000000"/>
      <name val="Arial"/>
      <family val="2"/>
    </font>
    <font>
      <b/>
      <sz val="11"/>
      <name val="Arial"/>
      <family val="2"/>
    </font>
    <font>
      <sz val="12"/>
      <name val="Arial"/>
      <family val="2"/>
    </font>
    <font>
      <b/>
      <sz val="12"/>
      <name val="Calibri"/>
      <family val="2"/>
      <scheme val="minor"/>
    </font>
    <font>
      <b/>
      <sz val="11"/>
      <name val="Calibri"/>
      <family val="2"/>
      <scheme val="minor"/>
    </font>
    <font>
      <b/>
      <sz val="18"/>
      <color rgb="FFFF0000"/>
      <name val="Arial"/>
      <family val="2"/>
    </font>
    <font>
      <b/>
      <sz val="16"/>
      <color rgb="FFFF0000"/>
      <name val="Arial"/>
      <family val="2"/>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6" tint="0.59999389629810485"/>
        <bgColor indexed="64"/>
      </patternFill>
    </fill>
    <fill>
      <patternFill patternType="solid">
        <fgColor them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00B0F0"/>
        <bgColor indexed="64"/>
      </patternFill>
    </fill>
  </fills>
  <borders count="74">
    <border>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ck">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right style="medium">
        <color indexed="64"/>
      </right>
      <top style="thin">
        <color indexed="64"/>
      </top>
      <bottom/>
      <diagonal/>
    </border>
    <border>
      <left style="medium">
        <color rgb="FF003366"/>
      </left>
      <right style="medium">
        <color rgb="FF003366"/>
      </right>
      <top style="medium">
        <color rgb="FF003366"/>
      </top>
      <bottom style="medium">
        <color rgb="FF003366"/>
      </bottom>
      <diagonal/>
    </border>
    <border>
      <left/>
      <right/>
      <top style="thin">
        <color theme="3" tint="-0.249977111117893"/>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rgb="FF0070C0"/>
      </left>
      <right style="thin">
        <color theme="0"/>
      </right>
      <top style="medium">
        <color rgb="FF0070C0"/>
      </top>
      <bottom style="thin">
        <color theme="0"/>
      </bottom>
      <diagonal/>
    </border>
    <border>
      <left style="thin">
        <color theme="0"/>
      </left>
      <right style="thin">
        <color theme="0"/>
      </right>
      <top style="medium">
        <color rgb="FF0070C0"/>
      </top>
      <bottom style="thin">
        <color theme="0"/>
      </bottom>
      <diagonal/>
    </border>
    <border>
      <left style="thin">
        <color theme="0"/>
      </left>
      <right style="medium">
        <color rgb="FF0070C0"/>
      </right>
      <top style="medium">
        <color rgb="FF0070C0"/>
      </top>
      <bottom style="thin">
        <color theme="0"/>
      </bottom>
      <diagonal/>
    </border>
    <border>
      <left style="medium">
        <color rgb="FF0070C0"/>
      </left>
      <right style="thin">
        <color theme="0"/>
      </right>
      <top style="thin">
        <color theme="0"/>
      </top>
      <bottom style="thin">
        <color theme="0"/>
      </bottom>
      <diagonal/>
    </border>
    <border>
      <left style="thin">
        <color theme="0"/>
      </left>
      <right style="medium">
        <color rgb="FF0070C0"/>
      </right>
      <top style="thin">
        <color theme="0"/>
      </top>
      <bottom style="thin">
        <color theme="0"/>
      </bottom>
      <diagonal/>
    </border>
    <border>
      <left style="medium">
        <color rgb="FF0070C0"/>
      </left>
      <right style="thin">
        <color theme="0"/>
      </right>
      <top style="thin">
        <color theme="0"/>
      </top>
      <bottom style="medium">
        <color rgb="FF0070C0"/>
      </bottom>
      <diagonal/>
    </border>
    <border>
      <left style="thin">
        <color theme="0"/>
      </left>
      <right style="thin">
        <color theme="0"/>
      </right>
      <top style="thin">
        <color theme="0"/>
      </top>
      <bottom style="medium">
        <color rgb="FF0070C0"/>
      </bottom>
      <diagonal/>
    </border>
    <border>
      <left style="thin">
        <color theme="0"/>
      </left>
      <right style="medium">
        <color rgb="FF0070C0"/>
      </right>
      <top style="thin">
        <color theme="0"/>
      </top>
      <bottom style="medium">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top style="thin">
        <color indexed="64"/>
      </top>
      <bottom style="thin">
        <color indexed="64"/>
      </bottom>
      <diagonal/>
    </border>
    <border>
      <left style="medium">
        <color rgb="FF0070C0"/>
      </left>
      <right style="thin">
        <color indexed="64"/>
      </right>
      <top style="medium">
        <color rgb="FF0070C0"/>
      </top>
      <bottom style="medium">
        <color rgb="FF0070C0"/>
      </bottom>
      <diagonal/>
    </border>
    <border>
      <left style="thin">
        <color indexed="64"/>
      </left>
      <right style="medium">
        <color rgb="FF0070C0"/>
      </right>
      <top style="medium">
        <color rgb="FF0070C0"/>
      </top>
      <bottom style="medium">
        <color rgb="FF0070C0"/>
      </bottom>
      <diagonal/>
    </border>
    <border>
      <left style="thin">
        <color indexed="64"/>
      </left>
      <right style="thin">
        <color indexed="64"/>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style="medium">
        <color rgb="FF003366"/>
      </right>
      <top style="medium">
        <color rgb="FF003366"/>
      </top>
      <bottom style="medium">
        <color rgb="FF003366"/>
      </bottom>
      <diagonal/>
    </border>
    <border>
      <left style="medium">
        <color rgb="FF003366"/>
      </left>
      <right style="medium">
        <color rgb="FF0070C0"/>
      </right>
      <top style="medium">
        <color rgb="FF003366"/>
      </top>
      <bottom style="medium">
        <color rgb="FF003366"/>
      </bottom>
      <diagonal/>
    </border>
    <border>
      <left style="medium">
        <color rgb="FF0070C0"/>
      </left>
      <right style="medium">
        <color rgb="FF003366"/>
      </right>
      <top style="medium">
        <color rgb="FF003366"/>
      </top>
      <bottom style="medium">
        <color rgb="FF0070C0"/>
      </bottom>
      <diagonal/>
    </border>
    <border>
      <left style="medium">
        <color rgb="FF003366"/>
      </left>
      <right style="medium">
        <color rgb="FF003366"/>
      </right>
      <top style="medium">
        <color rgb="FF003366"/>
      </top>
      <bottom style="medium">
        <color rgb="FF0070C0"/>
      </bottom>
      <diagonal/>
    </border>
    <border>
      <left style="medium">
        <color rgb="FF003366"/>
      </left>
      <right style="medium">
        <color rgb="FF0070C0"/>
      </right>
      <top style="medium">
        <color rgb="FF003366"/>
      </top>
      <bottom style="medium">
        <color rgb="FF0070C0"/>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344">
    <xf numFmtId="0" fontId="0" fillId="0" borderId="0" xfId="0"/>
    <xf numFmtId="0" fontId="3" fillId="0" borderId="0" xfId="0" applyFont="1"/>
    <xf numFmtId="3" fontId="3" fillId="0" borderId="0" xfId="0" applyNumberFormat="1" applyFont="1"/>
    <xf numFmtId="0" fontId="4" fillId="0" borderId="0" xfId="0" applyFont="1"/>
    <xf numFmtId="0" fontId="6" fillId="2" borderId="2" xfId="0" applyFont="1" applyFill="1" applyBorder="1" applyAlignment="1">
      <alignment horizontal="left" vertical="center" wrapText="1"/>
    </xf>
    <xf numFmtId="3" fontId="6" fillId="2" borderId="3" xfId="0" applyNumberFormat="1" applyFont="1" applyFill="1" applyBorder="1" applyAlignment="1">
      <alignment horizontal="center" vertical="center" wrapText="1"/>
    </xf>
    <xf numFmtId="3" fontId="6" fillId="2" borderId="4" xfId="0" applyNumberFormat="1" applyFont="1" applyFill="1" applyBorder="1" applyAlignment="1">
      <alignment horizontal="center" vertical="center" wrapText="1"/>
    </xf>
    <xf numFmtId="3" fontId="7" fillId="2" borderId="0" xfId="0" applyNumberFormat="1" applyFont="1" applyFill="1"/>
    <xf numFmtId="0" fontId="7" fillId="2" borderId="0" xfId="0" applyFont="1" applyFill="1"/>
    <xf numFmtId="0" fontId="7" fillId="0" borderId="5" xfId="0" applyFont="1" applyBorder="1" applyAlignment="1">
      <alignment horizontal="left" vertical="center" wrapText="1"/>
    </xf>
    <xf numFmtId="3" fontId="7" fillId="0" borderId="7" xfId="0" applyNumberFormat="1" applyFont="1" applyBorder="1"/>
    <xf numFmtId="3" fontId="7" fillId="0" borderId="0" xfId="0" applyNumberFormat="1" applyFont="1"/>
    <xf numFmtId="0" fontId="7" fillId="0" borderId="0" xfId="0" applyFont="1"/>
    <xf numFmtId="3" fontId="7" fillId="0" borderId="7" xfId="0" applyNumberFormat="1" applyFont="1" applyBorder="1" applyAlignment="1">
      <alignment horizontal="center" vertical="center" wrapText="1"/>
    </xf>
    <xf numFmtId="3" fontId="7" fillId="0" borderId="6" xfId="0" applyNumberFormat="1" applyFont="1" applyBorder="1"/>
    <xf numFmtId="0" fontId="7" fillId="0" borderId="8" xfId="0" applyFont="1" applyBorder="1" applyAlignment="1">
      <alignment horizontal="left" vertical="center" wrapText="1"/>
    </xf>
    <xf numFmtId="3" fontId="7" fillId="0" borderId="10"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7" fillId="0" borderId="11" xfId="0" applyFont="1" applyBorder="1" applyAlignment="1">
      <alignment horizontal="left" vertical="center" wrapText="1"/>
    </xf>
    <xf numFmtId="3" fontId="7" fillId="0" borderId="13" xfId="0" applyNumberFormat="1" applyFont="1" applyBorder="1" applyAlignment="1">
      <alignment horizontal="right" vertical="center" wrapText="1"/>
    </xf>
    <xf numFmtId="0" fontId="7" fillId="0" borderId="0" xfId="0" applyFont="1" applyBorder="1" applyAlignment="1">
      <alignment horizontal="left" vertical="center" wrapText="1"/>
    </xf>
    <xf numFmtId="3" fontId="7" fillId="0" borderId="0" xfId="0" applyNumberFormat="1" applyFont="1" applyBorder="1" applyAlignment="1">
      <alignment horizontal="left" vertical="center" wrapText="1"/>
    </xf>
    <xf numFmtId="3" fontId="7" fillId="0" borderId="0" xfId="0" applyNumberFormat="1" applyFont="1" applyBorder="1" applyAlignment="1">
      <alignment horizontal="right" vertical="center" wrapText="1"/>
    </xf>
    <xf numFmtId="0" fontId="7" fillId="0" borderId="5" xfId="0" applyFont="1" applyFill="1" applyBorder="1" applyAlignment="1">
      <alignment horizontal="left" vertical="center" wrapText="1"/>
    </xf>
    <xf numFmtId="0" fontId="7" fillId="0" borderId="5" xfId="0" applyFont="1" applyBorder="1" applyAlignment="1">
      <alignment horizontal="left" vertical="center"/>
    </xf>
    <xf numFmtId="0" fontId="7" fillId="0" borderId="8" xfId="0" applyFont="1" applyBorder="1" applyAlignment="1">
      <alignment horizontal="left" vertical="center"/>
    </xf>
    <xf numFmtId="0" fontId="7" fillId="0" borderId="14" xfId="0" applyFont="1" applyBorder="1" applyAlignment="1">
      <alignment horizontal="left" vertical="center"/>
    </xf>
    <xf numFmtId="0" fontId="6" fillId="0" borderId="17" xfId="0" applyFont="1" applyBorder="1" applyAlignment="1">
      <alignment horizontal="center" vertical="center"/>
    </xf>
    <xf numFmtId="3" fontId="6" fillId="0" borderId="18" xfId="0" applyNumberFormat="1" applyFont="1" applyBorder="1" applyAlignment="1">
      <alignment horizontal="center" vertical="center"/>
    </xf>
    <xf numFmtId="3" fontId="6" fillId="0" borderId="19" xfId="0" applyNumberFormat="1" applyFont="1" applyBorder="1" applyAlignment="1">
      <alignment horizontal="center" vertical="center"/>
    </xf>
    <xf numFmtId="3" fontId="6" fillId="0" borderId="0" xfId="0" applyNumberFormat="1" applyFont="1" applyBorder="1" applyAlignment="1">
      <alignment horizontal="center" vertical="center"/>
    </xf>
    <xf numFmtId="0" fontId="6" fillId="0" borderId="20" xfId="0" applyFont="1" applyBorder="1" applyAlignment="1">
      <alignment horizontal="left" vertical="center"/>
    </xf>
    <xf numFmtId="3" fontId="7" fillId="0" borderId="21" xfId="0" applyNumberFormat="1" applyFont="1" applyBorder="1"/>
    <xf numFmtId="0" fontId="6" fillId="0" borderId="22" xfId="0" applyFont="1" applyBorder="1" applyAlignment="1">
      <alignment horizontal="left" vertical="center"/>
    </xf>
    <xf numFmtId="3" fontId="7" fillId="0" borderId="23" xfId="0" applyNumberFormat="1" applyFont="1" applyBorder="1"/>
    <xf numFmtId="0" fontId="3" fillId="0" borderId="0" xfId="0" applyFont="1" applyAlignment="1">
      <alignment horizontal="left" vertical="center"/>
    </xf>
    <xf numFmtId="0" fontId="7" fillId="0" borderId="0" xfId="0" applyFont="1" applyAlignment="1">
      <alignment horizontal="justify" vertical="center"/>
    </xf>
    <xf numFmtId="0" fontId="7" fillId="0" borderId="2" xfId="0" applyNumberFormat="1" applyFont="1" applyBorder="1" applyAlignment="1">
      <alignment horizontal="center"/>
    </xf>
    <xf numFmtId="3" fontId="7" fillId="0" borderId="3" xfId="0" applyNumberFormat="1" applyFont="1" applyBorder="1" applyAlignment="1">
      <alignment horizontal="center"/>
    </xf>
    <xf numFmtId="0" fontId="6" fillId="0" borderId="5" xfId="0" applyNumberFormat="1" applyFont="1" applyBorder="1" applyAlignment="1">
      <alignment horizontal="left" vertical="center"/>
    </xf>
    <xf numFmtId="0" fontId="7" fillId="0" borderId="5" xfId="0" applyNumberFormat="1" applyFont="1" applyBorder="1" applyAlignment="1">
      <alignment horizontal="left" vertical="center"/>
    </xf>
    <xf numFmtId="3" fontId="7" fillId="0" borderId="6" xfId="0" applyNumberFormat="1" applyFont="1" applyBorder="1" applyAlignment="1">
      <alignment horizontal="right" vertical="center"/>
    </xf>
    <xf numFmtId="0" fontId="7" fillId="0" borderId="14" xfId="0" applyNumberFormat="1" applyFont="1" applyBorder="1" applyAlignment="1">
      <alignment horizontal="left" vertical="center"/>
    </xf>
    <xf numFmtId="0" fontId="7" fillId="0" borderId="11" xfId="0" applyNumberFormat="1" applyFont="1" applyBorder="1" applyAlignment="1">
      <alignment horizontal="left" vertical="center"/>
    </xf>
    <xf numFmtId="0" fontId="7" fillId="0" borderId="0" xfId="0" applyNumberFormat="1" applyFont="1" applyBorder="1" applyAlignment="1">
      <alignment horizontal="left" vertical="center"/>
    </xf>
    <xf numFmtId="3" fontId="7" fillId="0" borderId="0" xfId="0" applyNumberFormat="1" applyFont="1" applyBorder="1" applyAlignment="1">
      <alignment horizontal="right" vertical="center"/>
    </xf>
    <xf numFmtId="3" fontId="7" fillId="0" borderId="0" xfId="0" applyNumberFormat="1" applyFont="1" applyBorder="1"/>
    <xf numFmtId="3" fontId="7" fillId="0" borderId="6" xfId="0" applyNumberFormat="1" applyFont="1" applyBorder="1" applyAlignment="1">
      <alignment horizontal="center"/>
    </xf>
    <xf numFmtId="0" fontId="7" fillId="0" borderId="6" xfId="0" applyFont="1" applyBorder="1" applyAlignment="1">
      <alignment horizontal="left" vertical="center"/>
    </xf>
    <xf numFmtId="3" fontId="7" fillId="0" borderId="6" xfId="0" applyNumberFormat="1" applyFont="1" applyBorder="1" applyAlignment="1">
      <alignment horizontal="left" vertical="center"/>
    </xf>
    <xf numFmtId="9" fontId="7" fillId="0" borderId="6" xfId="1" applyFont="1" applyBorder="1" applyAlignment="1">
      <alignment horizontal="center"/>
    </xf>
    <xf numFmtId="3" fontId="7" fillId="0" borderId="6" xfId="0" applyNumberFormat="1" applyFont="1" applyBorder="1" applyAlignment="1">
      <alignment horizontal="center" vertical="center"/>
    </xf>
    <xf numFmtId="0" fontId="6" fillId="0" borderId="2" xfId="0" applyFont="1" applyBorder="1" applyAlignment="1">
      <alignment horizontal="center" vertical="center"/>
    </xf>
    <xf numFmtId="3" fontId="6" fillId="0" borderId="3" xfId="0" applyNumberFormat="1" applyFont="1" applyBorder="1" applyAlignment="1">
      <alignment horizontal="center" vertical="center"/>
    </xf>
    <xf numFmtId="3" fontId="6" fillId="0" borderId="4" xfId="0" applyNumberFormat="1" applyFont="1" applyBorder="1" applyAlignment="1">
      <alignment horizontal="center" vertical="center"/>
    </xf>
    <xf numFmtId="0" fontId="6" fillId="0" borderId="5" xfId="0" applyFont="1" applyBorder="1" applyAlignment="1">
      <alignment horizontal="left" vertical="center"/>
    </xf>
    <xf numFmtId="3" fontId="6" fillId="0" borderId="6" xfId="0" applyNumberFormat="1" applyFont="1" applyBorder="1" applyAlignment="1">
      <alignment horizontal="right" vertical="center"/>
    </xf>
    <xf numFmtId="3" fontId="6" fillId="0" borderId="0" xfId="0" applyNumberFormat="1" applyFont="1" applyBorder="1" applyAlignment="1">
      <alignment horizontal="right" vertical="center"/>
    </xf>
    <xf numFmtId="0" fontId="7" fillId="0" borderId="0" xfId="0" applyFont="1" applyAlignment="1">
      <alignment horizontal="left"/>
    </xf>
    <xf numFmtId="3" fontId="7" fillId="0" borderId="0" xfId="0" applyNumberFormat="1" applyFont="1" applyFill="1" applyBorder="1" applyAlignment="1">
      <alignment horizontal="right" vertical="center"/>
    </xf>
    <xf numFmtId="0" fontId="6" fillId="0" borderId="14" xfId="0" applyFont="1" applyBorder="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5" xfId="0" applyFont="1" applyFill="1" applyBorder="1" applyAlignment="1">
      <alignment horizontal="left" vertical="center"/>
    </xf>
    <xf numFmtId="3" fontId="7" fillId="0" borderId="6" xfId="0" applyNumberFormat="1" applyFont="1" applyFill="1" applyBorder="1" applyAlignment="1">
      <alignment horizontal="right" vertical="center"/>
    </xf>
    <xf numFmtId="3" fontId="0" fillId="0" borderId="6" xfId="0" applyNumberFormat="1" applyFont="1" applyFill="1" applyBorder="1"/>
    <xf numFmtId="3" fontId="9" fillId="0" borderId="6" xfId="0" applyNumberFormat="1" applyFont="1" applyFill="1" applyBorder="1"/>
    <xf numFmtId="3" fontId="0" fillId="0" borderId="27" xfId="0" applyNumberFormat="1" applyFont="1" applyFill="1" applyBorder="1"/>
    <xf numFmtId="3" fontId="7" fillId="0" borderId="28" xfId="0" applyNumberFormat="1" applyFont="1" applyFill="1" applyBorder="1" applyAlignment="1">
      <alignment horizontal="right" vertical="center"/>
    </xf>
    <xf numFmtId="3" fontId="7" fillId="0" borderId="27" xfId="0" applyNumberFormat="1" applyFont="1" applyFill="1" applyBorder="1" applyAlignment="1">
      <alignment horizontal="right" vertical="center"/>
    </xf>
    <xf numFmtId="0" fontId="7" fillId="0" borderId="14" xfId="0" applyFont="1" applyFill="1" applyBorder="1" applyAlignment="1">
      <alignment horizontal="left" vertical="center"/>
    </xf>
    <xf numFmtId="3" fontId="7" fillId="0" borderId="29" xfId="0" applyNumberFormat="1" applyFont="1" applyFill="1" applyBorder="1" applyAlignment="1">
      <alignment horizontal="right" vertical="center"/>
    </xf>
    <xf numFmtId="0" fontId="8" fillId="0" borderId="0" xfId="0" applyFont="1" applyBorder="1" applyAlignment="1">
      <alignment horizontal="center" vertical="center" wrapText="1"/>
    </xf>
    <xf numFmtId="0" fontId="7" fillId="0" borderId="0" xfId="0" applyFont="1" applyFill="1" applyBorder="1" applyAlignment="1">
      <alignment horizontal="left" vertical="center"/>
    </xf>
    <xf numFmtId="0" fontId="7" fillId="0" borderId="0" xfId="0" applyFont="1" applyBorder="1" applyAlignment="1">
      <alignment horizontal="center"/>
    </xf>
    <xf numFmtId="0" fontId="7" fillId="0" borderId="0" xfId="0" applyFont="1" applyAlignment="1">
      <alignment horizontal="center"/>
    </xf>
    <xf numFmtId="4" fontId="7" fillId="0" borderId="0" xfId="0" applyNumberFormat="1" applyFont="1" applyBorder="1" applyAlignment="1"/>
    <xf numFmtId="4" fontId="7" fillId="0" borderId="0" xfId="0" applyNumberFormat="1" applyFont="1" applyBorder="1" applyAlignment="1">
      <alignment horizontal="center"/>
    </xf>
    <xf numFmtId="0" fontId="6" fillId="0" borderId="0" xfId="0" applyFont="1"/>
    <xf numFmtId="0" fontId="10" fillId="0" borderId="2" xfId="0" applyFont="1" applyBorder="1" applyAlignment="1">
      <alignment horizontal="left" vertical="center"/>
    </xf>
    <xf numFmtId="3" fontId="10" fillId="0" borderId="4" xfId="0" applyNumberFormat="1" applyFont="1" applyBorder="1" applyAlignment="1">
      <alignment horizontal="right" vertical="center"/>
    </xf>
    <xf numFmtId="0" fontId="10" fillId="0" borderId="5" xfId="0" applyFont="1" applyBorder="1" applyAlignment="1">
      <alignment horizontal="left" vertical="center"/>
    </xf>
    <xf numFmtId="3" fontId="10" fillId="0" borderId="7" xfId="0" applyNumberFormat="1" applyFont="1" applyBorder="1" applyAlignment="1">
      <alignment horizontal="right" vertical="center"/>
    </xf>
    <xf numFmtId="9" fontId="10" fillId="0" borderId="7" xfId="1" applyFont="1" applyBorder="1" applyAlignment="1">
      <alignment horizontal="right" vertical="center"/>
    </xf>
    <xf numFmtId="0" fontId="10" fillId="0" borderId="7" xfId="0" applyFont="1" applyBorder="1" applyAlignment="1">
      <alignment horizontal="right" vertical="center"/>
    </xf>
    <xf numFmtId="0" fontId="7" fillId="0" borderId="14" xfId="0" applyFont="1" applyBorder="1"/>
    <xf numFmtId="3" fontId="7" fillId="0" borderId="15" xfId="0" applyNumberFormat="1" applyFont="1" applyBorder="1"/>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left" vertical="center"/>
    </xf>
    <xf numFmtId="9" fontId="7" fillId="0" borderId="0" xfId="1" applyFont="1"/>
    <xf numFmtId="0" fontId="10" fillId="2" borderId="5" xfId="0" applyFont="1" applyFill="1" applyBorder="1" applyAlignment="1">
      <alignment horizontal="center" vertical="center"/>
    </xf>
    <xf numFmtId="3" fontId="10" fillId="2" borderId="6" xfId="0" applyNumberFormat="1" applyFont="1" applyFill="1" applyBorder="1" applyAlignment="1">
      <alignment horizontal="right" vertical="center"/>
    </xf>
    <xf numFmtId="3" fontId="10" fillId="0" borderId="6" xfId="0" applyNumberFormat="1" applyFont="1" applyBorder="1"/>
    <xf numFmtId="3" fontId="10" fillId="2" borderId="6" xfId="1" applyNumberFormat="1" applyFont="1" applyFill="1" applyBorder="1" applyAlignment="1">
      <alignment horizontal="right" vertical="center"/>
    </xf>
    <xf numFmtId="3" fontId="10" fillId="0" borderId="7" xfId="0" applyNumberFormat="1" applyFont="1" applyBorder="1"/>
    <xf numFmtId="4" fontId="7" fillId="0" borderId="0" xfId="0" applyNumberFormat="1" applyFont="1"/>
    <xf numFmtId="166" fontId="7" fillId="0" borderId="0" xfId="0" applyNumberFormat="1" applyFont="1"/>
    <xf numFmtId="167" fontId="7" fillId="0" borderId="0" xfId="0" applyNumberFormat="1" applyFont="1"/>
    <xf numFmtId="0" fontId="10" fillId="2" borderId="30" xfId="0" applyFont="1" applyFill="1" applyBorder="1" applyAlignment="1">
      <alignment horizontal="center" vertical="center"/>
    </xf>
    <xf numFmtId="0" fontId="13" fillId="0" borderId="0" xfId="0" applyFont="1"/>
    <xf numFmtId="0" fontId="7" fillId="0" borderId="8" xfId="0" applyFont="1" applyFill="1" applyBorder="1" applyAlignment="1">
      <alignment horizontal="left" vertical="center"/>
    </xf>
    <xf numFmtId="3" fontId="7" fillId="0" borderId="31" xfId="0" applyNumberFormat="1" applyFont="1" applyFill="1" applyBorder="1" applyAlignment="1">
      <alignment horizontal="right" vertical="center"/>
    </xf>
    <xf numFmtId="3" fontId="0" fillId="0" borderId="0" xfId="0" applyNumberFormat="1"/>
    <xf numFmtId="8" fontId="0" fillId="0" borderId="0" xfId="0" applyNumberFormat="1"/>
    <xf numFmtId="3" fontId="6" fillId="0" borderId="0" xfId="0" applyNumberFormat="1" applyFont="1" applyBorder="1"/>
    <xf numFmtId="4" fontId="7" fillId="0" borderId="0" xfId="0" applyNumberFormat="1" applyFont="1" applyBorder="1"/>
    <xf numFmtId="3" fontId="11" fillId="0" borderId="0" xfId="0" applyNumberFormat="1" applyFont="1" applyBorder="1"/>
    <xf numFmtId="3" fontId="7" fillId="0" borderId="6" xfId="0" applyNumberFormat="1" applyFont="1" applyBorder="1" applyAlignment="1">
      <alignment horizontal="center" vertical="center" wrapText="1"/>
    </xf>
    <xf numFmtId="3" fontId="7" fillId="0" borderId="9" xfId="0" applyNumberFormat="1" applyFont="1" applyBorder="1" applyAlignment="1">
      <alignment horizontal="center" vertical="center" wrapText="1"/>
    </xf>
    <xf numFmtId="3" fontId="7" fillId="0" borderId="7" xfId="0" applyNumberFormat="1" applyFont="1" applyBorder="1" applyAlignment="1">
      <alignment horizontal="center" vertical="center"/>
    </xf>
    <xf numFmtId="3" fontId="7" fillId="0" borderId="26" xfId="0" applyNumberFormat="1" applyFont="1" applyBorder="1" applyAlignment="1">
      <alignment horizontal="center" vertical="center"/>
    </xf>
    <xf numFmtId="3" fontId="7" fillId="0" borderId="26" xfId="0" applyNumberFormat="1" applyFont="1" applyBorder="1" applyAlignment="1">
      <alignment horizontal="center"/>
    </xf>
    <xf numFmtId="3" fontId="7" fillId="0" borderId="15" xfId="0" applyNumberFormat="1" applyFont="1" applyBorder="1" applyAlignment="1">
      <alignment horizontal="center" vertical="center"/>
    </xf>
    <xf numFmtId="3" fontId="7" fillId="0" borderId="12" xfId="0" applyNumberFormat="1" applyFont="1" applyBorder="1" applyAlignment="1">
      <alignment horizontal="center" vertical="center"/>
    </xf>
    <xf numFmtId="3" fontId="7" fillId="0" borderId="12" xfId="0" applyNumberFormat="1" applyFont="1" applyBorder="1" applyAlignment="1">
      <alignment horizontal="center"/>
    </xf>
    <xf numFmtId="3" fontId="7" fillId="0" borderId="13" xfId="0" applyNumberFormat="1" applyFont="1" applyBorder="1" applyAlignment="1">
      <alignment horizontal="center" vertical="center"/>
    </xf>
    <xf numFmtId="3" fontId="6" fillId="0" borderId="6" xfId="0" applyNumberFormat="1" applyFont="1" applyBorder="1" applyAlignment="1">
      <alignment horizontal="center" vertical="center"/>
    </xf>
    <xf numFmtId="3" fontId="6" fillId="0" borderId="7" xfId="0" applyNumberFormat="1" applyFont="1" applyBorder="1" applyAlignment="1">
      <alignment horizontal="center" vertical="center"/>
    </xf>
    <xf numFmtId="0" fontId="12" fillId="2" borderId="3" xfId="0" applyFont="1" applyFill="1" applyBorder="1" applyAlignment="1">
      <alignment horizontal="center" vertical="center"/>
    </xf>
    <xf numFmtId="9" fontId="0" fillId="0" borderId="0" xfId="1" applyFont="1"/>
    <xf numFmtId="10" fontId="0" fillId="0" borderId="0" xfId="1" applyNumberFormat="1" applyFont="1"/>
    <xf numFmtId="10" fontId="0" fillId="0" borderId="0" xfId="0" applyNumberFormat="1"/>
    <xf numFmtId="0" fontId="6" fillId="0" borderId="2" xfId="0" applyFont="1" applyBorder="1"/>
    <xf numFmtId="3" fontId="6" fillId="0" borderId="4" xfId="0" applyNumberFormat="1" applyFont="1" applyBorder="1" applyAlignment="1">
      <alignment horizontal="center"/>
    </xf>
    <xf numFmtId="3" fontId="7" fillId="0" borderId="7" xfId="0" applyNumberFormat="1" applyFont="1" applyFill="1" applyBorder="1" applyAlignment="1">
      <alignment horizontal="center" vertical="center" wrapText="1"/>
    </xf>
    <xf numFmtId="3" fontId="7" fillId="0" borderId="10" xfId="0" applyNumberFormat="1" applyFont="1" applyBorder="1" applyAlignment="1">
      <alignment horizontal="center" vertical="center"/>
    </xf>
    <xf numFmtId="9" fontId="7" fillId="0" borderId="7" xfId="1" applyFont="1" applyBorder="1" applyAlignment="1">
      <alignment horizontal="center" vertical="center"/>
    </xf>
    <xf numFmtId="9" fontId="7" fillId="0" borderId="15" xfId="1" applyFont="1" applyBorder="1" applyAlignment="1">
      <alignment horizontal="center" vertical="center"/>
    </xf>
    <xf numFmtId="3" fontId="6" fillId="0" borderId="6" xfId="0" applyNumberFormat="1" applyFont="1" applyBorder="1" applyAlignment="1">
      <alignment horizont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10" fillId="0" borderId="0" xfId="0" applyFont="1" applyBorder="1" applyAlignment="1">
      <alignment horizontal="left" vertical="center"/>
    </xf>
    <xf numFmtId="4" fontId="7" fillId="0" borderId="27" xfId="0" applyNumberFormat="1" applyFont="1" applyBorder="1"/>
    <xf numFmtId="0" fontId="10" fillId="0" borderId="33" xfId="0" applyFont="1" applyBorder="1" applyAlignment="1">
      <alignment horizontal="left" vertical="center"/>
    </xf>
    <xf numFmtId="0" fontId="10" fillId="0" borderId="34" xfId="0" applyFont="1" applyBorder="1" applyAlignment="1">
      <alignment horizontal="left" vertical="center"/>
    </xf>
    <xf numFmtId="9" fontId="10" fillId="0" borderId="27" xfId="1" applyFont="1" applyBorder="1" applyAlignment="1">
      <alignment horizontal="right" vertical="center"/>
    </xf>
    <xf numFmtId="3" fontId="7" fillId="0" borderId="27" xfId="0" applyNumberFormat="1" applyFont="1" applyBorder="1"/>
    <xf numFmtId="0" fontId="10" fillId="0" borderId="35" xfId="0" applyFont="1" applyBorder="1" applyAlignment="1">
      <alignment horizontal="left" vertical="center"/>
    </xf>
    <xf numFmtId="0" fontId="7" fillId="0" borderId="33" xfId="0" applyFont="1" applyBorder="1"/>
    <xf numFmtId="10" fontId="10" fillId="0" borderId="33" xfId="1" applyNumberFormat="1" applyFont="1" applyBorder="1" applyAlignment="1">
      <alignment horizontal="right" vertical="center"/>
    </xf>
    <xf numFmtId="10" fontId="10" fillId="0" borderId="33" xfId="0" applyNumberFormat="1" applyFont="1" applyBorder="1" applyAlignment="1">
      <alignment horizontal="right" vertical="center"/>
    </xf>
    <xf numFmtId="3" fontId="7" fillId="0" borderId="33" xfId="0" applyNumberFormat="1" applyFont="1" applyBorder="1"/>
    <xf numFmtId="4" fontId="7" fillId="0" borderId="33" xfId="0" applyNumberFormat="1" applyFont="1" applyBorder="1"/>
    <xf numFmtId="4" fontId="7" fillId="0" borderId="34" xfId="0" applyNumberFormat="1" applyFont="1" applyBorder="1"/>
    <xf numFmtId="3" fontId="0" fillId="0" borderId="4" xfId="0" applyNumberFormat="1" applyBorder="1"/>
    <xf numFmtId="0" fontId="0" fillId="0" borderId="5" xfId="0" applyBorder="1"/>
    <xf numFmtId="3" fontId="0" fillId="0" borderId="7" xfId="0" applyNumberFormat="1" applyBorder="1"/>
    <xf numFmtId="10" fontId="0" fillId="0" borderId="7" xfId="1" applyNumberFormat="1" applyFont="1" applyBorder="1"/>
    <xf numFmtId="9" fontId="0" fillId="0" borderId="7" xfId="1" applyFont="1" applyBorder="1"/>
    <xf numFmtId="10" fontId="0" fillId="0" borderId="7" xfId="0" applyNumberFormat="1" applyBorder="1"/>
    <xf numFmtId="0" fontId="0" fillId="0" borderId="14" xfId="0" applyBorder="1"/>
    <xf numFmtId="10" fontId="0" fillId="0" borderId="15" xfId="0" applyNumberFormat="1" applyBorder="1"/>
    <xf numFmtId="3" fontId="2" fillId="0" borderId="0" xfId="0" applyNumberFormat="1" applyFont="1"/>
    <xf numFmtId="3" fontId="9" fillId="0" borderId="2" xfId="0" applyNumberFormat="1" applyFont="1" applyBorder="1"/>
    <xf numFmtId="0" fontId="9" fillId="0" borderId="5" xfId="0" applyFont="1" applyBorder="1"/>
    <xf numFmtId="38" fontId="10" fillId="0" borderId="35" xfId="0" applyNumberFormat="1" applyFont="1" applyBorder="1" applyAlignment="1">
      <alignment horizontal="right" vertical="center"/>
    </xf>
    <xf numFmtId="0" fontId="2" fillId="0" borderId="0" xfId="0" applyFont="1" applyAlignment="1">
      <alignment horizontal="center"/>
    </xf>
    <xf numFmtId="0" fontId="2" fillId="0" borderId="0" xfId="0" applyFont="1"/>
    <xf numFmtId="0" fontId="12" fillId="0" borderId="0" xfId="0" applyFont="1" applyFill="1" applyBorder="1" applyAlignment="1">
      <alignment horizontal="left" vertical="center"/>
    </xf>
    <xf numFmtId="0" fontId="0" fillId="0" borderId="6" xfId="0" applyBorder="1"/>
    <xf numFmtId="9" fontId="2" fillId="0" borderId="6" xfId="0" applyNumberFormat="1" applyFont="1" applyBorder="1" applyAlignment="1">
      <alignment horizontal="center"/>
    </xf>
    <xf numFmtId="0" fontId="0" fillId="0" borderId="6" xfId="0" applyBorder="1" applyAlignment="1">
      <alignment horizontal="center"/>
    </xf>
    <xf numFmtId="9" fontId="0" fillId="0" borderId="6" xfId="0" applyNumberFormat="1" applyBorder="1" applyAlignment="1">
      <alignment horizontal="center"/>
    </xf>
    <xf numFmtId="38" fontId="2" fillId="0" borderId="6" xfId="0" applyNumberFormat="1" applyFont="1" applyBorder="1" applyAlignment="1">
      <alignment horizontal="center"/>
    </xf>
    <xf numFmtId="0" fontId="2" fillId="0" borderId="6" xfId="0" applyFont="1" applyBorder="1" applyAlignment="1">
      <alignment horizontal="center"/>
    </xf>
    <xf numFmtId="0" fontId="2" fillId="0" borderId="6" xfId="0" applyFont="1" applyBorder="1"/>
    <xf numFmtId="9" fontId="2" fillId="0" borderId="6" xfId="0" applyNumberFormat="1" applyFont="1" applyFill="1" applyBorder="1" applyAlignment="1">
      <alignment horizontal="center"/>
    </xf>
    <xf numFmtId="10" fontId="0" fillId="0" borderId="6" xfId="1" applyNumberFormat="1" applyFont="1" applyBorder="1" applyAlignment="1">
      <alignment horizontal="center"/>
    </xf>
    <xf numFmtId="0" fontId="2" fillId="0" borderId="0" xfId="0" applyFont="1" applyAlignment="1">
      <alignment horizontal="right"/>
    </xf>
    <xf numFmtId="0" fontId="7" fillId="0" borderId="0" xfId="0" applyFont="1" applyBorder="1"/>
    <xf numFmtId="0" fontId="6" fillId="0" borderId="14" xfId="0" applyFont="1" applyFill="1" applyBorder="1" applyAlignment="1">
      <alignment horizontal="left" vertical="center"/>
    </xf>
    <xf numFmtId="3" fontId="7" fillId="0" borderId="9" xfId="0" applyNumberFormat="1" applyFont="1" applyFill="1" applyBorder="1" applyAlignment="1">
      <alignment horizontal="right" vertical="center"/>
    </xf>
    <xf numFmtId="3" fontId="7" fillId="0" borderId="40" xfId="0" applyNumberFormat="1" applyFont="1" applyFill="1" applyBorder="1" applyAlignment="1">
      <alignment horizontal="right" vertical="center"/>
    </xf>
    <xf numFmtId="0" fontId="7" fillId="0" borderId="30" xfId="0" applyFont="1" applyFill="1" applyBorder="1" applyAlignment="1">
      <alignment horizontal="left" vertical="center"/>
    </xf>
    <xf numFmtId="3" fontId="7" fillId="0" borderId="36" xfId="0" applyNumberFormat="1" applyFont="1" applyFill="1" applyBorder="1" applyAlignment="1">
      <alignment horizontal="right" vertical="center"/>
    </xf>
    <xf numFmtId="3" fontId="0" fillId="0" borderId="9" xfId="0" applyNumberFormat="1" applyFont="1" applyFill="1" applyBorder="1"/>
    <xf numFmtId="3" fontId="9" fillId="0" borderId="9" xfId="0" applyNumberFormat="1" applyFont="1" applyFill="1" applyBorder="1"/>
    <xf numFmtId="0" fontId="6" fillId="0" borderId="8" xfId="0" applyFont="1" applyBorder="1" applyAlignment="1">
      <alignment horizontal="left" vertical="center"/>
    </xf>
    <xf numFmtId="3" fontId="6" fillId="0" borderId="9" xfId="0" applyNumberFormat="1" applyFont="1" applyBorder="1" applyAlignment="1">
      <alignment horizontal="right" vertical="center"/>
    </xf>
    <xf numFmtId="0" fontId="19" fillId="0" borderId="0" xfId="0" applyFont="1" applyAlignment="1">
      <alignment horizontal="left" vertical="center" wrapText="1"/>
    </xf>
    <xf numFmtId="164" fontId="6" fillId="0" borderId="9" xfId="0" applyNumberFormat="1" applyFont="1" applyBorder="1" applyAlignment="1">
      <alignment horizontal="right" vertical="center"/>
    </xf>
    <xf numFmtId="0" fontId="20" fillId="2" borderId="0" xfId="0" applyFont="1" applyFill="1" applyBorder="1" applyAlignment="1">
      <alignment horizontal="center" vertical="center" wrapText="1"/>
    </xf>
    <xf numFmtId="0" fontId="18" fillId="2" borderId="0" xfId="0" applyFont="1" applyFill="1" applyBorder="1" applyAlignment="1">
      <alignment vertical="center" wrapText="1"/>
    </xf>
    <xf numFmtId="3" fontId="18"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wrapText="1"/>
    </xf>
    <xf numFmtId="3" fontId="22" fillId="2" borderId="41" xfId="0" applyNumberFormat="1" applyFont="1" applyFill="1" applyBorder="1" applyAlignment="1">
      <alignment horizontal="center" vertical="center" wrapText="1"/>
    </xf>
    <xf numFmtId="0" fontId="18" fillId="2" borderId="41" xfId="0" applyFont="1" applyFill="1" applyBorder="1" applyAlignment="1">
      <alignment horizontal="center" vertical="center" wrapText="1"/>
    </xf>
    <xf numFmtId="0" fontId="22" fillId="2" borderId="0" xfId="0" applyFont="1" applyFill="1" applyBorder="1" applyAlignment="1">
      <alignment vertical="center" wrapText="1"/>
    </xf>
    <xf numFmtId="3" fontId="22" fillId="2" borderId="0" xfId="0" applyNumberFormat="1" applyFont="1" applyFill="1" applyBorder="1" applyAlignment="1">
      <alignment horizontal="center" vertical="center" wrapText="1"/>
    </xf>
    <xf numFmtId="0" fontId="24" fillId="2" borderId="0" xfId="0" applyFont="1" applyFill="1" applyBorder="1" applyAlignment="1">
      <alignment vertical="center" wrapText="1"/>
    </xf>
    <xf numFmtId="0" fontId="22" fillId="2" borderId="0" xfId="0" applyFont="1" applyFill="1" applyBorder="1" applyAlignment="1">
      <alignment horizontal="center" vertical="center" wrapText="1"/>
    </xf>
    <xf numFmtId="3" fontId="3" fillId="0" borderId="42" xfId="0" applyNumberFormat="1" applyFont="1" applyBorder="1"/>
    <xf numFmtId="0" fontId="23" fillId="2" borderId="0" xfId="0" applyFont="1" applyFill="1" applyBorder="1" applyAlignment="1">
      <alignment horizontal="center" vertical="center" wrapText="1"/>
    </xf>
    <xf numFmtId="0" fontId="0" fillId="0" borderId="0" xfId="0" applyAlignment="1"/>
    <xf numFmtId="0" fontId="0" fillId="0" borderId="0" xfId="0" applyBorder="1"/>
    <xf numFmtId="0" fontId="10" fillId="0" borderId="43" xfId="0" applyFont="1" applyBorder="1" applyAlignment="1">
      <alignment horizontal="left" vertical="center"/>
    </xf>
    <xf numFmtId="0" fontId="0" fillId="0" borderId="45" xfId="0" applyBorder="1"/>
    <xf numFmtId="0" fontId="12" fillId="0" borderId="0" xfId="0" applyFont="1"/>
    <xf numFmtId="0" fontId="12" fillId="0" borderId="0" xfId="0" applyFont="1" applyAlignment="1">
      <alignment vertical="center"/>
    </xf>
    <xf numFmtId="3" fontId="12" fillId="0" borderId="0" xfId="0" applyNumberFormat="1" applyFont="1"/>
    <xf numFmtId="3" fontId="7" fillId="0" borderId="46" xfId="0" applyNumberFormat="1" applyFont="1" applyFill="1" applyBorder="1" applyAlignment="1">
      <alignment wrapText="1"/>
    </xf>
    <xf numFmtId="3" fontId="7" fillId="0" borderId="47" xfId="0" applyNumberFormat="1" applyFont="1" applyFill="1" applyBorder="1" applyAlignment="1">
      <alignment wrapText="1"/>
    </xf>
    <xf numFmtId="3" fontId="7" fillId="2" borderId="0" xfId="0" applyNumberFormat="1" applyFont="1" applyFill="1" applyBorder="1"/>
    <xf numFmtId="3" fontId="7" fillId="0" borderId="7" xfId="0" applyNumberFormat="1" applyFont="1" applyFill="1" applyBorder="1"/>
    <xf numFmtId="3" fontId="0" fillId="0" borderId="64" xfId="0" applyNumberFormat="1" applyFont="1" applyFill="1" applyBorder="1"/>
    <xf numFmtId="9" fontId="10" fillId="0" borderId="44" xfId="1" applyFont="1" applyBorder="1" applyAlignment="1">
      <alignment horizontal="right" vertical="center"/>
    </xf>
    <xf numFmtId="0" fontId="0" fillId="0" borderId="8" xfId="0" applyBorder="1"/>
    <xf numFmtId="9" fontId="0" fillId="0" borderId="10" xfId="1" applyFont="1" applyBorder="1"/>
    <xf numFmtId="0" fontId="0" fillId="0" borderId="43" xfId="0" applyBorder="1"/>
    <xf numFmtId="9" fontId="0" fillId="0" borderId="44" xfId="1" applyFont="1" applyBorder="1"/>
    <xf numFmtId="0" fontId="25" fillId="0" borderId="65" xfId="0" applyFont="1" applyBorder="1"/>
    <xf numFmtId="0" fontId="6" fillId="0" borderId="65" xfId="0" applyFont="1" applyFill="1" applyBorder="1" applyAlignment="1">
      <alignment horizontal="left" vertical="center"/>
    </xf>
    <xf numFmtId="3" fontId="6" fillId="0" borderId="68" xfId="0" applyNumberFormat="1" applyFont="1" applyFill="1" applyBorder="1" applyAlignment="1">
      <alignment horizontal="right" vertical="center"/>
    </xf>
    <xf numFmtId="0" fontId="6" fillId="0" borderId="65" xfId="0" applyFont="1" applyBorder="1" applyAlignment="1">
      <alignment horizontal="left" vertical="center"/>
    </xf>
    <xf numFmtId="3" fontId="7" fillId="0" borderId="68" xfId="0" applyNumberFormat="1" applyFont="1" applyFill="1" applyBorder="1" applyAlignment="1">
      <alignment horizontal="right" vertical="center"/>
    </xf>
    <xf numFmtId="0" fontId="7" fillId="0" borderId="9" xfId="0" applyFont="1" applyBorder="1" applyAlignment="1">
      <alignment horizontal="left" vertical="center"/>
    </xf>
    <xf numFmtId="3" fontId="7" fillId="0" borderId="9" xfId="0" applyNumberFormat="1" applyFont="1" applyBorder="1" applyAlignment="1">
      <alignment horizontal="left" vertical="center" wrapText="1"/>
    </xf>
    <xf numFmtId="9" fontId="7" fillId="0" borderId="9" xfId="1" applyFont="1" applyBorder="1" applyAlignment="1">
      <alignment horizontal="center"/>
    </xf>
    <xf numFmtId="3" fontId="7" fillId="0" borderId="9" xfId="0" applyNumberFormat="1" applyFont="1" applyBorder="1"/>
    <xf numFmtId="0" fontId="7" fillId="0" borderId="65" xfId="0" applyFont="1" applyBorder="1" applyAlignment="1">
      <alignment horizontal="left" vertical="center"/>
    </xf>
    <xf numFmtId="3" fontId="7" fillId="0" borderId="67" xfId="0" applyNumberFormat="1" applyFont="1" applyBorder="1" applyAlignment="1">
      <alignment horizontal="center" vertical="center"/>
    </xf>
    <xf numFmtId="3" fontId="7" fillId="0" borderId="67" xfId="0" applyNumberFormat="1" applyFont="1" applyBorder="1"/>
    <xf numFmtId="0" fontId="27" fillId="0" borderId="0" xfId="0" applyFont="1"/>
    <xf numFmtId="3" fontId="6" fillId="3" borderId="12" xfId="0" applyNumberFormat="1" applyFont="1" applyFill="1" applyBorder="1" applyAlignment="1">
      <alignment horizontal="center" vertical="center"/>
    </xf>
    <xf numFmtId="3" fontId="7" fillId="3" borderId="12" xfId="0" applyNumberFormat="1" applyFont="1" applyFill="1" applyBorder="1" applyAlignment="1">
      <alignment horizontal="center" vertical="center" wrapText="1"/>
    </xf>
    <xf numFmtId="3" fontId="7" fillId="3" borderId="6" xfId="0" applyNumberFormat="1" applyFont="1" applyFill="1" applyBorder="1" applyAlignment="1">
      <alignment horizontal="right" vertical="center"/>
    </xf>
    <xf numFmtId="3" fontId="7" fillId="4" borderId="66" xfId="0" applyNumberFormat="1" applyFont="1" applyFill="1" applyBorder="1"/>
    <xf numFmtId="3" fontId="7" fillId="4" borderId="6" xfId="0" applyNumberFormat="1" applyFont="1" applyFill="1" applyBorder="1" applyAlignment="1">
      <alignment horizontal="right" vertical="center"/>
    </xf>
    <xf numFmtId="3" fontId="6" fillId="5" borderId="6" xfId="0" applyNumberFormat="1" applyFont="1" applyFill="1" applyBorder="1" applyAlignment="1">
      <alignment horizontal="right" vertical="center"/>
    </xf>
    <xf numFmtId="3" fontId="7" fillId="5" borderId="6" xfId="0" applyNumberFormat="1" applyFont="1" applyFill="1" applyBorder="1" applyAlignment="1">
      <alignment horizontal="right" vertical="center"/>
    </xf>
    <xf numFmtId="3" fontId="7" fillId="5" borderId="7" xfId="0" applyNumberFormat="1" applyFont="1" applyFill="1" applyBorder="1" applyAlignment="1">
      <alignment horizontal="right" vertical="center"/>
    </xf>
    <xf numFmtId="3" fontId="6" fillId="6" borderId="6" xfId="0" applyNumberFormat="1" applyFont="1" applyFill="1" applyBorder="1" applyAlignment="1">
      <alignment horizontal="right" vertical="center"/>
    </xf>
    <xf numFmtId="3" fontId="6" fillId="7" borderId="6" xfId="0" applyNumberFormat="1" applyFont="1" applyFill="1" applyBorder="1" applyAlignment="1">
      <alignment horizontal="right" vertical="center"/>
    </xf>
    <xf numFmtId="3" fontId="6" fillId="7" borderId="7" xfId="0" applyNumberFormat="1" applyFont="1" applyFill="1" applyBorder="1" applyAlignment="1">
      <alignment horizontal="right" vertical="center"/>
    </xf>
    <xf numFmtId="3" fontId="7" fillId="7" borderId="6" xfId="0" applyNumberFormat="1" applyFont="1" applyFill="1" applyBorder="1" applyAlignment="1">
      <alignment horizontal="right" vertical="center"/>
    </xf>
    <xf numFmtId="3" fontId="7" fillId="4" borderId="7" xfId="0" applyNumberFormat="1" applyFont="1" applyFill="1" applyBorder="1"/>
    <xf numFmtId="3" fontId="6" fillId="8" borderId="67" xfId="0" applyNumberFormat="1" applyFont="1" applyFill="1" applyBorder="1" applyAlignment="1">
      <alignment horizontal="right" vertical="center"/>
    </xf>
    <xf numFmtId="3" fontId="6" fillId="8" borderId="66" xfId="0" applyNumberFormat="1" applyFont="1" applyFill="1" applyBorder="1" applyAlignment="1">
      <alignment horizontal="right" vertical="center"/>
    </xf>
    <xf numFmtId="3" fontId="7" fillId="8" borderId="6" xfId="0" applyNumberFormat="1" applyFont="1" applyFill="1" applyBorder="1" applyAlignment="1">
      <alignment horizontal="right" vertical="center"/>
    </xf>
    <xf numFmtId="3" fontId="7" fillId="9" borderId="7" xfId="0" applyNumberFormat="1" applyFont="1" applyFill="1" applyBorder="1" applyAlignment="1">
      <alignment horizontal="center"/>
    </xf>
    <xf numFmtId="3" fontId="7" fillId="9" borderId="10" xfId="0" applyNumberFormat="1" applyFont="1" applyFill="1" applyBorder="1" applyAlignment="1">
      <alignment horizontal="right" vertical="center"/>
    </xf>
    <xf numFmtId="3" fontId="7" fillId="6" borderId="6" xfId="0" applyNumberFormat="1" applyFont="1" applyFill="1" applyBorder="1" applyAlignment="1">
      <alignment horizontal="right" vertical="center"/>
    </xf>
    <xf numFmtId="3" fontId="7" fillId="11" borderId="6" xfId="0" applyNumberFormat="1" applyFont="1" applyFill="1" applyBorder="1" applyAlignment="1">
      <alignment horizontal="right" vertical="center"/>
    </xf>
    <xf numFmtId="3" fontId="7" fillId="10" borderId="6" xfId="0" applyNumberFormat="1" applyFont="1" applyFill="1" applyBorder="1" applyAlignment="1">
      <alignment horizontal="right" vertical="center"/>
    </xf>
    <xf numFmtId="3" fontId="10" fillId="2" borderId="6" xfId="0" applyNumberFormat="1" applyFont="1" applyFill="1" applyBorder="1" applyAlignment="1">
      <alignment horizontal="center" vertical="center"/>
    </xf>
    <xf numFmtId="3" fontId="10" fillId="0" borderId="6" xfId="0" applyNumberFormat="1" applyFont="1" applyBorder="1" applyAlignment="1">
      <alignment horizontal="center"/>
    </xf>
    <xf numFmtId="3" fontId="10" fillId="10" borderId="6" xfId="1" applyNumberFormat="1" applyFont="1" applyFill="1" applyBorder="1" applyAlignment="1">
      <alignment horizontal="center" vertical="center"/>
    </xf>
    <xf numFmtId="3" fontId="10" fillId="11" borderId="7" xfId="0" applyNumberFormat="1" applyFont="1" applyFill="1" applyBorder="1" applyAlignment="1">
      <alignment horizontal="center"/>
    </xf>
    <xf numFmtId="3" fontId="6" fillId="12" borderId="67" xfId="0" applyNumberFormat="1" applyFont="1" applyFill="1" applyBorder="1" applyAlignment="1">
      <alignment horizontal="right" vertical="center"/>
    </xf>
    <xf numFmtId="10" fontId="26" fillId="12" borderId="66" xfId="0" applyNumberFormat="1" applyFont="1" applyFill="1" applyBorder="1"/>
    <xf numFmtId="38" fontId="10" fillId="12" borderId="35" xfId="0" applyNumberFormat="1" applyFont="1" applyFill="1" applyBorder="1" applyAlignment="1">
      <alignment horizontal="right" vertical="center"/>
    </xf>
    <xf numFmtId="10" fontId="10" fillId="12" borderId="33" xfId="0" applyNumberFormat="1" applyFont="1" applyFill="1" applyBorder="1" applyAlignment="1">
      <alignment horizontal="right" vertical="center"/>
    </xf>
    <xf numFmtId="10" fontId="7" fillId="12" borderId="33" xfId="1" applyNumberFormat="1" applyFont="1" applyFill="1" applyBorder="1"/>
    <xf numFmtId="165" fontId="7" fillId="12" borderId="34" xfId="0" applyNumberFormat="1" applyFont="1" applyFill="1" applyBorder="1"/>
    <xf numFmtId="40" fontId="10" fillId="12" borderId="25" xfId="0" applyNumberFormat="1" applyFont="1" applyFill="1" applyBorder="1" applyAlignment="1">
      <alignment horizontal="right" vertical="center"/>
    </xf>
    <xf numFmtId="10" fontId="10" fillId="12" borderId="27" xfId="0" applyNumberFormat="1" applyFont="1" applyFill="1" applyBorder="1" applyAlignment="1">
      <alignment horizontal="right" vertical="center"/>
    </xf>
    <xf numFmtId="10" fontId="7" fillId="12" borderId="27" xfId="1" applyNumberFormat="1" applyFont="1" applyFill="1" applyBorder="1"/>
    <xf numFmtId="168" fontId="7" fillId="12" borderId="32" xfId="2" applyNumberFormat="1" applyFont="1" applyFill="1" applyBorder="1"/>
    <xf numFmtId="0" fontId="23" fillId="2" borderId="56" xfId="0" applyFont="1" applyFill="1" applyBorder="1" applyAlignment="1">
      <alignment horizontal="center" vertical="center" wrapText="1"/>
    </xf>
    <xf numFmtId="0" fontId="23" fillId="2" borderId="57" xfId="0" applyFont="1" applyFill="1" applyBorder="1" applyAlignment="1">
      <alignment horizontal="center" vertical="center" wrapText="1"/>
    </xf>
    <xf numFmtId="0" fontId="23" fillId="2" borderId="58" xfId="0" applyFont="1" applyFill="1" applyBorder="1" applyAlignment="1">
      <alignment horizontal="center" vertical="center" wrapText="1"/>
    </xf>
    <xf numFmtId="0" fontId="22" fillId="2" borderId="69" xfId="0" applyFont="1" applyFill="1" applyBorder="1" applyAlignment="1">
      <alignment vertical="center" wrapText="1"/>
    </xf>
    <xf numFmtId="0" fontId="24" fillId="2" borderId="70" xfId="0" applyFont="1" applyFill="1" applyBorder="1" applyAlignment="1">
      <alignment vertical="center" wrapText="1"/>
    </xf>
    <xf numFmtId="0" fontId="22" fillId="2" borderId="70" xfId="0" applyFont="1" applyFill="1" applyBorder="1" applyAlignment="1">
      <alignment horizontal="center" vertical="center" wrapText="1"/>
    </xf>
    <xf numFmtId="0" fontId="21" fillId="2" borderId="69" xfId="0" applyFont="1" applyFill="1" applyBorder="1" applyAlignment="1">
      <alignment horizontal="left" vertical="center" wrapText="1"/>
    </xf>
    <xf numFmtId="0" fontId="18" fillId="2" borderId="70" xfId="0" applyFont="1" applyFill="1" applyBorder="1" applyAlignment="1">
      <alignment horizontal="center" vertical="center" wrapText="1"/>
    </xf>
    <xf numFmtId="0" fontId="22" fillId="2" borderId="71" xfId="0" applyFont="1" applyFill="1" applyBorder="1" applyAlignment="1">
      <alignment vertical="center" wrapText="1"/>
    </xf>
    <xf numFmtId="3" fontId="22" fillId="2" borderId="72" xfId="0" applyNumberFormat="1" applyFont="1" applyFill="1" applyBorder="1" applyAlignment="1">
      <alignment horizontal="center" vertical="center" wrapText="1"/>
    </xf>
    <xf numFmtId="0" fontId="22" fillId="2" borderId="73" xfId="0" applyFont="1" applyFill="1" applyBorder="1" applyAlignment="1">
      <alignment horizontal="center" vertical="center" wrapText="1"/>
    </xf>
    <xf numFmtId="0" fontId="7" fillId="0" borderId="56" xfId="0" applyFont="1" applyBorder="1" applyAlignment="1">
      <alignment horizontal="left" vertical="top" wrapText="1"/>
    </xf>
    <xf numFmtId="0" fontId="7" fillId="0" borderId="57" xfId="0" applyFont="1" applyBorder="1" applyAlignment="1">
      <alignment horizontal="left" vertical="top" wrapText="1"/>
    </xf>
    <xf numFmtId="0" fontId="7" fillId="0" borderId="58" xfId="0" applyFont="1" applyBorder="1" applyAlignment="1">
      <alignment horizontal="left" vertical="top" wrapText="1"/>
    </xf>
    <xf numFmtId="0" fontId="7" fillId="0" borderId="59" xfId="0" applyFont="1" applyBorder="1" applyAlignment="1">
      <alignment horizontal="left" vertical="top" wrapText="1"/>
    </xf>
    <xf numFmtId="0" fontId="7" fillId="0" borderId="0" xfId="0" applyFont="1" applyBorder="1" applyAlignment="1">
      <alignment horizontal="left" vertical="top" wrapText="1"/>
    </xf>
    <xf numFmtId="0" fontId="7" fillId="0" borderId="60" xfId="0" applyFont="1" applyBorder="1" applyAlignment="1">
      <alignment horizontal="left" vertical="top" wrapText="1"/>
    </xf>
    <xf numFmtId="0" fontId="7" fillId="0" borderId="61" xfId="0" applyFont="1" applyBorder="1" applyAlignment="1">
      <alignment horizontal="left" vertical="top" wrapText="1"/>
    </xf>
    <xf numFmtId="0" fontId="7" fillId="0" borderId="62" xfId="0" applyFont="1" applyBorder="1" applyAlignment="1">
      <alignment horizontal="left" vertical="top" wrapText="1"/>
    </xf>
    <xf numFmtId="0" fontId="7" fillId="0" borderId="63" xfId="0" applyFont="1" applyBorder="1" applyAlignment="1">
      <alignment horizontal="left" vertical="top" wrapText="1"/>
    </xf>
    <xf numFmtId="3" fontId="7" fillId="0" borderId="56" xfId="0" applyNumberFormat="1" applyFont="1" applyBorder="1" applyAlignment="1">
      <alignment horizontal="left" vertical="top" wrapText="1"/>
    </xf>
    <xf numFmtId="3" fontId="7" fillId="0" borderId="57" xfId="0" applyNumberFormat="1" applyFont="1" applyBorder="1" applyAlignment="1">
      <alignment horizontal="left" vertical="top" wrapText="1"/>
    </xf>
    <xf numFmtId="3" fontId="7" fillId="0" borderId="58" xfId="0" applyNumberFormat="1" applyFont="1" applyBorder="1" applyAlignment="1">
      <alignment horizontal="left" vertical="top" wrapText="1"/>
    </xf>
    <xf numFmtId="3" fontId="7" fillId="0" borderId="59" xfId="0" applyNumberFormat="1" applyFont="1" applyBorder="1" applyAlignment="1">
      <alignment horizontal="left" vertical="top" wrapText="1"/>
    </xf>
    <xf numFmtId="3" fontId="7" fillId="0" borderId="0" xfId="0" applyNumberFormat="1" applyFont="1" applyBorder="1" applyAlignment="1">
      <alignment horizontal="left" vertical="top" wrapText="1"/>
    </xf>
    <xf numFmtId="3" fontId="7" fillId="0" borderId="60" xfId="0" applyNumberFormat="1" applyFont="1" applyBorder="1" applyAlignment="1">
      <alignment horizontal="left" vertical="top" wrapText="1"/>
    </xf>
    <xf numFmtId="3" fontId="7" fillId="0" borderId="61" xfId="0" applyNumberFormat="1" applyFont="1" applyBorder="1" applyAlignment="1">
      <alignment horizontal="left" vertical="top" wrapText="1"/>
    </xf>
    <xf numFmtId="3" fontId="7" fillId="0" borderId="62" xfId="0" applyNumberFormat="1" applyFont="1" applyBorder="1" applyAlignment="1">
      <alignment horizontal="left" vertical="top" wrapText="1"/>
    </xf>
    <xf numFmtId="3" fontId="7" fillId="0" borderId="63" xfId="0" applyNumberFormat="1" applyFont="1" applyBorder="1" applyAlignment="1">
      <alignment horizontal="left" vertical="top" wrapText="1"/>
    </xf>
    <xf numFmtId="2" fontId="7" fillId="0" borderId="56" xfId="0" applyNumberFormat="1" applyFont="1" applyBorder="1" applyAlignment="1">
      <alignment horizontal="left" vertical="top" wrapText="1"/>
    </xf>
    <xf numFmtId="2" fontId="7" fillId="0" borderId="57" xfId="0" applyNumberFormat="1" applyFont="1" applyBorder="1" applyAlignment="1">
      <alignment horizontal="left" vertical="top" wrapText="1"/>
    </xf>
    <xf numFmtId="2" fontId="7" fillId="0" borderId="58" xfId="0" applyNumberFormat="1" applyFont="1" applyBorder="1" applyAlignment="1">
      <alignment horizontal="left" vertical="top" wrapText="1"/>
    </xf>
    <xf numFmtId="2" fontId="7" fillId="0" borderId="59" xfId="0" applyNumberFormat="1" applyFont="1" applyBorder="1" applyAlignment="1">
      <alignment horizontal="left" vertical="top" wrapText="1"/>
    </xf>
    <xf numFmtId="2" fontId="7" fillId="0" borderId="0" xfId="0" applyNumberFormat="1" applyFont="1" applyBorder="1" applyAlignment="1">
      <alignment horizontal="left" vertical="top" wrapText="1"/>
    </xf>
    <xf numFmtId="2" fontId="7" fillId="0" borderId="60" xfId="0" applyNumberFormat="1" applyFont="1" applyBorder="1" applyAlignment="1">
      <alignment horizontal="left" vertical="top" wrapText="1"/>
    </xf>
    <xf numFmtId="2" fontId="7" fillId="0" borderId="61" xfId="0" applyNumberFormat="1" applyFont="1" applyBorder="1" applyAlignment="1">
      <alignment horizontal="left" vertical="top" wrapText="1"/>
    </xf>
    <xf numFmtId="2" fontId="7" fillId="0" borderId="62" xfId="0" applyNumberFormat="1" applyFont="1" applyBorder="1" applyAlignment="1">
      <alignment horizontal="left" vertical="top" wrapText="1"/>
    </xf>
    <xf numFmtId="2" fontId="7" fillId="0" borderId="63" xfId="0" applyNumberFormat="1" applyFont="1" applyBorder="1" applyAlignment="1">
      <alignment horizontal="left" vertical="top" wrapText="1"/>
    </xf>
    <xf numFmtId="3" fontId="0" fillId="0" borderId="56" xfId="0" applyNumberFormat="1" applyBorder="1" applyAlignment="1">
      <alignment horizontal="left" vertical="top" wrapText="1"/>
    </xf>
    <xf numFmtId="3" fontId="0" fillId="0" borderId="58" xfId="0" applyNumberFormat="1" applyBorder="1" applyAlignment="1">
      <alignment horizontal="left" vertical="top" wrapText="1"/>
    </xf>
    <xf numFmtId="3" fontId="0" fillId="0" borderId="59" xfId="0" applyNumberFormat="1" applyBorder="1" applyAlignment="1">
      <alignment horizontal="left" vertical="top" wrapText="1"/>
    </xf>
    <xf numFmtId="3" fontId="0" fillId="0" borderId="60" xfId="0" applyNumberFormat="1" applyBorder="1" applyAlignment="1">
      <alignment horizontal="left" vertical="top" wrapText="1"/>
    </xf>
    <xf numFmtId="3" fontId="0" fillId="0" borderId="61" xfId="0" applyNumberFormat="1" applyBorder="1" applyAlignment="1">
      <alignment horizontal="left" vertical="top" wrapText="1"/>
    </xf>
    <xf numFmtId="3" fontId="0" fillId="0" borderId="63" xfId="0" applyNumberFormat="1" applyBorder="1" applyAlignment="1">
      <alignment horizontal="left" vertical="top" wrapText="1"/>
    </xf>
    <xf numFmtId="0" fontId="28" fillId="0" borderId="0" xfId="0" applyFont="1" applyAlignment="1">
      <alignment horizontal="left"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Border="1" applyAlignment="1">
      <alignment horizontal="center" vertical="center" wrapText="1"/>
    </xf>
    <xf numFmtId="0" fontId="7" fillId="0" borderId="0" xfId="0" applyFont="1" applyBorder="1" applyAlignment="1">
      <alignment horizontal="center"/>
    </xf>
    <xf numFmtId="0" fontId="7" fillId="0" borderId="0" xfId="0" applyFont="1" applyAlignment="1">
      <alignment horizontal="center"/>
    </xf>
    <xf numFmtId="0" fontId="22" fillId="0" borderId="56" xfId="0" applyFont="1" applyBorder="1" applyAlignment="1">
      <alignment horizontal="left" vertical="top" wrapText="1"/>
    </xf>
    <xf numFmtId="0" fontId="22" fillId="0" borderId="57" xfId="0" applyFont="1" applyBorder="1" applyAlignment="1">
      <alignment horizontal="left" vertical="top" wrapText="1"/>
    </xf>
    <xf numFmtId="0" fontId="22" fillId="0" borderId="58" xfId="0" applyFont="1" applyBorder="1" applyAlignment="1">
      <alignment horizontal="left" vertical="top" wrapText="1"/>
    </xf>
    <xf numFmtId="0" fontId="22" fillId="0" borderId="59" xfId="0" applyFont="1" applyBorder="1" applyAlignment="1">
      <alignment horizontal="left" vertical="top" wrapText="1"/>
    </xf>
    <xf numFmtId="0" fontId="22" fillId="0" borderId="0" xfId="0" applyFont="1" applyBorder="1" applyAlignment="1">
      <alignment horizontal="left" vertical="top" wrapText="1"/>
    </xf>
    <xf numFmtId="0" fontId="22" fillId="0" borderId="60" xfId="0" applyFont="1" applyBorder="1" applyAlignment="1">
      <alignment horizontal="left" vertical="top" wrapText="1"/>
    </xf>
    <xf numFmtId="0" fontId="22" fillId="0" borderId="61" xfId="0" applyFont="1" applyBorder="1" applyAlignment="1">
      <alignment horizontal="left" vertical="top" wrapText="1"/>
    </xf>
    <xf numFmtId="0" fontId="22" fillId="0" borderId="62" xfId="0" applyFont="1" applyBorder="1" applyAlignment="1">
      <alignment horizontal="left" vertical="top" wrapText="1"/>
    </xf>
    <xf numFmtId="0" fontId="22" fillId="0" borderId="63" xfId="0" applyFont="1" applyBorder="1" applyAlignment="1">
      <alignment horizontal="left" vertical="top" wrapText="1"/>
    </xf>
    <xf numFmtId="3" fontId="6" fillId="0" borderId="24" xfId="0" applyNumberFormat="1" applyFont="1" applyBorder="1" applyAlignment="1">
      <alignment horizontal="center" vertical="center"/>
    </xf>
    <xf numFmtId="3" fontId="6" fillId="0" borderId="25" xfId="0" applyNumberFormat="1" applyFont="1" applyBorder="1" applyAlignment="1">
      <alignment horizontal="center" vertical="center"/>
    </xf>
    <xf numFmtId="3" fontId="7" fillId="0" borderId="48" xfId="0" applyNumberFormat="1" applyFont="1" applyFill="1" applyBorder="1" applyAlignment="1">
      <alignment horizontal="left" vertical="top" wrapText="1"/>
    </xf>
    <xf numFmtId="3" fontId="7" fillId="0" borderId="49" xfId="0" applyNumberFormat="1" applyFont="1" applyFill="1" applyBorder="1" applyAlignment="1">
      <alignment horizontal="left" vertical="top" wrapText="1"/>
    </xf>
    <xf numFmtId="3" fontId="7" fillId="0" borderId="50" xfId="0" applyNumberFormat="1" applyFont="1" applyFill="1" applyBorder="1" applyAlignment="1">
      <alignment horizontal="left" vertical="top" wrapText="1"/>
    </xf>
    <xf numFmtId="3" fontId="7" fillId="0" borderId="51" xfId="0" applyNumberFormat="1" applyFont="1" applyFill="1" applyBorder="1" applyAlignment="1">
      <alignment horizontal="left" vertical="top" wrapText="1"/>
    </xf>
    <xf numFmtId="3" fontId="7" fillId="0" borderId="46" xfId="0" applyNumberFormat="1" applyFont="1" applyFill="1" applyBorder="1" applyAlignment="1">
      <alignment horizontal="left" vertical="top" wrapText="1"/>
    </xf>
    <xf numFmtId="3" fontId="7" fillId="0" borderId="52" xfId="0" applyNumberFormat="1" applyFont="1" applyFill="1" applyBorder="1" applyAlignment="1">
      <alignment horizontal="left" vertical="top" wrapText="1"/>
    </xf>
    <xf numFmtId="3" fontId="7" fillId="0" borderId="53" xfId="0" applyNumberFormat="1" applyFont="1" applyFill="1" applyBorder="1" applyAlignment="1">
      <alignment horizontal="left" vertical="top" wrapText="1"/>
    </xf>
    <xf numFmtId="3" fontId="7" fillId="0" borderId="54" xfId="0" applyNumberFormat="1" applyFont="1" applyFill="1" applyBorder="1" applyAlignment="1">
      <alignment horizontal="left" vertical="top" wrapText="1"/>
    </xf>
    <xf numFmtId="3" fontId="7" fillId="0" borderId="55" xfId="0" applyNumberFormat="1" applyFont="1" applyFill="1" applyBorder="1" applyAlignment="1">
      <alignment horizontal="left" vertical="top" wrapText="1"/>
    </xf>
    <xf numFmtId="0" fontId="12" fillId="0" borderId="39" xfId="0" applyFont="1" applyBorder="1" applyAlignment="1">
      <alignment horizontal="left"/>
    </xf>
    <xf numFmtId="0" fontId="6" fillId="0" borderId="6" xfId="0" applyFont="1" applyBorder="1" applyAlignment="1">
      <alignment horizontal="left" vertical="center"/>
    </xf>
    <xf numFmtId="0" fontId="5" fillId="0" borderId="16" xfId="0" applyFont="1" applyBorder="1" applyAlignment="1">
      <alignment horizontal="center" vertical="center" wrapText="1"/>
    </xf>
    <xf numFmtId="0" fontId="0" fillId="0" borderId="0" xfId="0" applyAlignment="1">
      <alignment horizontal="left" wrapText="1"/>
    </xf>
    <xf numFmtId="0" fontId="0" fillId="0" borderId="0" xfId="0" applyAlignment="1">
      <alignment horizontal="left"/>
    </xf>
    <xf numFmtId="0" fontId="2" fillId="0" borderId="38" xfId="0" applyFont="1" applyBorder="1" applyAlignment="1">
      <alignment horizontal="center"/>
    </xf>
    <xf numFmtId="0" fontId="2" fillId="0" borderId="6" xfId="0" applyFont="1" applyBorder="1" applyAlignment="1">
      <alignment horizontal="center"/>
    </xf>
    <xf numFmtId="38" fontId="2" fillId="0" borderId="9" xfId="0" applyNumberFormat="1" applyFont="1" applyBorder="1" applyAlignment="1">
      <alignment horizontal="center" vertical="center"/>
    </xf>
    <xf numFmtId="38" fontId="2" fillId="0" borderId="37" xfId="0" applyNumberFormat="1" applyFont="1" applyBorder="1" applyAlignment="1">
      <alignment horizontal="center" vertical="center"/>
    </xf>
    <xf numFmtId="38" fontId="2" fillId="0" borderId="36" xfId="0" applyNumberFormat="1" applyFont="1" applyBorder="1" applyAlignment="1">
      <alignment horizontal="center" vertical="center"/>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T188"/>
  <sheetViews>
    <sheetView tabSelected="1" zoomScaleNormal="100" workbookViewId="0">
      <selection activeCell="B4" sqref="B4:H22"/>
    </sheetView>
  </sheetViews>
  <sheetFormatPr baseColWidth="10" defaultRowHeight="15" x14ac:dyDescent="0.25"/>
  <cols>
    <col min="2" max="2" width="37.42578125" customWidth="1"/>
    <col min="3" max="3" width="16" customWidth="1"/>
    <col min="4" max="4" width="12.42578125" customWidth="1"/>
    <col min="5" max="5" width="12.85546875" customWidth="1"/>
    <col min="6" max="6" width="19.140625" customWidth="1"/>
    <col min="7" max="7" width="12.7109375" customWidth="1"/>
    <col min="8" max="8" width="12.28515625" customWidth="1"/>
    <col min="9" max="9" width="13" customWidth="1"/>
    <col min="10" max="10" width="12.85546875" customWidth="1"/>
    <col min="11" max="11" width="13.7109375" customWidth="1"/>
    <col min="12" max="12" width="12.42578125" customWidth="1"/>
  </cols>
  <sheetData>
    <row r="2" spans="2:12" ht="18" x14ac:dyDescent="0.25">
      <c r="B2" s="184" t="s">
        <v>148</v>
      </c>
      <c r="D2" s="186"/>
      <c r="E2" s="186"/>
      <c r="F2" s="186"/>
      <c r="G2" s="197"/>
      <c r="H2" s="197"/>
      <c r="I2" s="197"/>
    </row>
    <row r="3" spans="2:12" ht="15.75" thickBot="1" x14ac:dyDescent="0.3">
      <c r="D3" s="187"/>
      <c r="E3" s="188"/>
      <c r="F3" s="187"/>
      <c r="G3" s="192"/>
      <c r="H3" s="193"/>
      <c r="I3" s="194"/>
    </row>
    <row r="4" spans="2:12" ht="71.25" customHeight="1" thickBot="1" x14ac:dyDescent="0.3">
      <c r="B4" s="314" t="s">
        <v>150</v>
      </c>
      <c r="C4" s="315"/>
      <c r="D4" s="315"/>
      <c r="E4" s="315"/>
      <c r="F4" s="315"/>
      <c r="G4" s="315"/>
      <c r="H4" s="316"/>
      <c r="I4" s="195"/>
      <c r="J4" s="263" t="s">
        <v>1</v>
      </c>
      <c r="K4" s="264" t="s">
        <v>2</v>
      </c>
      <c r="L4" s="265" t="s">
        <v>140</v>
      </c>
    </row>
    <row r="5" spans="2:12" ht="18.75" customHeight="1" thickBot="1" x14ac:dyDescent="0.3">
      <c r="B5" s="317"/>
      <c r="C5" s="318"/>
      <c r="D5" s="318"/>
      <c r="E5" s="318"/>
      <c r="F5" s="318"/>
      <c r="G5" s="318"/>
      <c r="H5" s="319"/>
      <c r="I5" s="189"/>
      <c r="J5" s="266" t="s">
        <v>4</v>
      </c>
      <c r="K5" s="190">
        <v>50000</v>
      </c>
      <c r="L5" s="267"/>
    </row>
    <row r="6" spans="2:12" ht="18.75" customHeight="1" thickBot="1" x14ac:dyDescent="0.3">
      <c r="B6" s="317"/>
      <c r="C6" s="318"/>
      <c r="D6" s="318"/>
      <c r="E6" s="318"/>
      <c r="F6" s="318"/>
      <c r="G6" s="318"/>
      <c r="H6" s="319"/>
      <c r="I6" s="195"/>
      <c r="J6" s="266" t="s">
        <v>5</v>
      </c>
      <c r="K6" s="190">
        <v>140000</v>
      </c>
      <c r="L6" s="268" t="s">
        <v>141</v>
      </c>
    </row>
    <row r="7" spans="2:12" ht="15.75" thickBot="1" x14ac:dyDescent="0.3">
      <c r="B7" s="317"/>
      <c r="C7" s="318"/>
      <c r="D7" s="318"/>
      <c r="E7" s="318"/>
      <c r="F7" s="318"/>
      <c r="G7" s="318"/>
      <c r="H7" s="319"/>
      <c r="I7" s="195"/>
      <c r="J7" s="269" t="s">
        <v>147</v>
      </c>
      <c r="K7" s="191"/>
      <c r="L7" s="270"/>
    </row>
    <row r="8" spans="2:12" ht="32.25" customHeight="1" thickBot="1" x14ac:dyDescent="0.3">
      <c r="B8" s="317"/>
      <c r="C8" s="318"/>
      <c r="D8" s="318"/>
      <c r="E8" s="318"/>
      <c r="F8" s="318"/>
      <c r="G8" s="318"/>
      <c r="H8" s="319"/>
      <c r="I8" s="195"/>
      <c r="J8" s="266" t="s">
        <v>7</v>
      </c>
      <c r="K8" s="190">
        <v>150000</v>
      </c>
      <c r="L8" s="268" t="s">
        <v>142</v>
      </c>
    </row>
    <row r="9" spans="2:12" ht="15.75" thickBot="1" x14ac:dyDescent="0.3">
      <c r="B9" s="317"/>
      <c r="C9" s="318"/>
      <c r="D9" s="318"/>
      <c r="E9" s="318"/>
      <c r="F9" s="318"/>
      <c r="G9" s="318"/>
      <c r="H9" s="319"/>
      <c r="J9" s="266" t="s">
        <v>8</v>
      </c>
      <c r="K9" s="190">
        <v>40000</v>
      </c>
      <c r="L9" s="268" t="s">
        <v>142</v>
      </c>
    </row>
    <row r="10" spans="2:12" ht="15.75" thickBot="1" x14ac:dyDescent="0.3">
      <c r="B10" s="317"/>
      <c r="C10" s="318"/>
      <c r="D10" s="318"/>
      <c r="E10" s="318"/>
      <c r="F10" s="318"/>
      <c r="G10" s="318"/>
      <c r="H10" s="319"/>
      <c r="J10" s="271" t="s">
        <v>9</v>
      </c>
      <c r="K10" s="272">
        <v>90000</v>
      </c>
      <c r="L10" s="273" t="s">
        <v>142</v>
      </c>
    </row>
    <row r="11" spans="2:12" x14ac:dyDescent="0.25">
      <c r="B11" s="317"/>
      <c r="C11" s="318"/>
      <c r="D11" s="318"/>
      <c r="E11" s="318"/>
      <c r="F11" s="318"/>
      <c r="G11" s="318"/>
      <c r="H11" s="319"/>
    </row>
    <row r="12" spans="2:12" x14ac:dyDescent="0.25">
      <c r="B12" s="317"/>
      <c r="C12" s="318"/>
      <c r="D12" s="318"/>
      <c r="E12" s="318"/>
      <c r="F12" s="318"/>
      <c r="G12" s="318"/>
      <c r="H12" s="319"/>
      <c r="I12" s="199"/>
      <c r="J12" s="199"/>
    </row>
    <row r="13" spans="2:12" x14ac:dyDescent="0.25">
      <c r="B13" s="317"/>
      <c r="C13" s="318"/>
      <c r="D13" s="318"/>
      <c r="E13" s="318"/>
      <c r="F13" s="318"/>
      <c r="G13" s="318"/>
      <c r="H13" s="319"/>
      <c r="I13" s="199"/>
      <c r="J13" s="201"/>
    </row>
    <row r="14" spans="2:12" x14ac:dyDescent="0.25">
      <c r="B14" s="317"/>
      <c r="C14" s="318"/>
      <c r="D14" s="318"/>
      <c r="E14" s="318"/>
      <c r="F14" s="318"/>
      <c r="G14" s="318"/>
      <c r="H14" s="319"/>
      <c r="I14" s="199"/>
      <c r="J14" s="199"/>
    </row>
    <row r="15" spans="2:12" x14ac:dyDescent="0.25">
      <c r="B15" s="317"/>
      <c r="C15" s="318"/>
      <c r="D15" s="318"/>
      <c r="E15" s="318"/>
      <c r="F15" s="318"/>
      <c r="G15" s="318"/>
      <c r="H15" s="319"/>
      <c r="I15" s="199"/>
      <c r="J15" s="199"/>
      <c r="K15" s="201"/>
    </row>
    <row r="16" spans="2:12" x14ac:dyDescent="0.25">
      <c r="B16" s="317"/>
      <c r="C16" s="318"/>
      <c r="D16" s="318"/>
      <c r="E16" s="318"/>
      <c r="F16" s="318"/>
      <c r="G16" s="318"/>
      <c r="H16" s="319"/>
      <c r="I16" s="199"/>
      <c r="J16" s="199"/>
    </row>
    <row r="17" spans="1:20" x14ac:dyDescent="0.25">
      <c r="B17" s="317"/>
      <c r="C17" s="318"/>
      <c r="D17" s="318"/>
      <c r="E17" s="318"/>
      <c r="F17" s="318"/>
      <c r="G17" s="318"/>
      <c r="H17" s="319"/>
      <c r="I17" s="199"/>
      <c r="J17" s="199"/>
    </row>
    <row r="18" spans="1:20" x14ac:dyDescent="0.25">
      <c r="B18" s="317"/>
      <c r="C18" s="318"/>
      <c r="D18" s="318"/>
      <c r="E18" s="318"/>
      <c r="F18" s="318"/>
      <c r="G18" s="318"/>
      <c r="H18" s="319"/>
      <c r="I18" s="199"/>
      <c r="J18" s="199"/>
    </row>
    <row r="19" spans="1:20" x14ac:dyDescent="0.25">
      <c r="B19" s="317"/>
      <c r="C19" s="318"/>
      <c r="D19" s="318"/>
      <c r="E19" s="318"/>
      <c r="F19" s="318"/>
      <c r="G19" s="318"/>
      <c r="H19" s="319"/>
      <c r="I19" s="199"/>
      <c r="J19" s="199"/>
    </row>
    <row r="20" spans="1:20" x14ac:dyDescent="0.25">
      <c r="B20" s="317"/>
      <c r="C20" s="318"/>
      <c r="D20" s="318"/>
      <c r="E20" s="318"/>
      <c r="F20" s="318"/>
      <c r="G20" s="318"/>
      <c r="H20" s="319"/>
      <c r="I20" s="199"/>
      <c r="J20" s="199"/>
    </row>
    <row r="21" spans="1:20" x14ac:dyDescent="0.25">
      <c r="B21" s="317"/>
      <c r="C21" s="318"/>
      <c r="D21" s="318"/>
      <c r="E21" s="318"/>
      <c r="F21" s="318"/>
      <c r="G21" s="318"/>
      <c r="H21" s="319"/>
      <c r="I21" s="199"/>
      <c r="J21" s="199"/>
    </row>
    <row r="22" spans="1:20" ht="15.75" thickBot="1" x14ac:dyDescent="0.3">
      <c r="B22" s="320"/>
      <c r="C22" s="321"/>
      <c r="D22" s="321"/>
      <c r="E22" s="321"/>
      <c r="F22" s="321"/>
      <c r="G22" s="321"/>
      <c r="H22" s="322"/>
      <c r="I22" s="199"/>
      <c r="J22" s="199"/>
    </row>
    <row r="23" spans="1:20" ht="20.25" x14ac:dyDescent="0.3">
      <c r="A23" s="1"/>
      <c r="B23" s="1"/>
      <c r="C23" s="2"/>
      <c r="D23" s="2"/>
      <c r="E23" s="2"/>
      <c r="F23" s="2"/>
      <c r="G23" s="2"/>
      <c r="H23" s="2"/>
      <c r="I23" s="2"/>
      <c r="J23" s="2"/>
      <c r="K23" s="2"/>
      <c r="L23" s="2"/>
      <c r="M23" s="2"/>
      <c r="N23" s="1"/>
      <c r="O23" s="1"/>
      <c r="P23" s="1"/>
      <c r="Q23" s="1"/>
      <c r="R23" s="1"/>
      <c r="S23" s="1"/>
      <c r="T23" s="1"/>
    </row>
    <row r="24" spans="1:20" ht="21" thickBot="1" x14ac:dyDescent="0.35">
      <c r="A24" s="1"/>
      <c r="B24" s="334" t="s">
        <v>0</v>
      </c>
      <c r="C24" s="334"/>
      <c r="D24" s="334"/>
      <c r="E24" s="2"/>
      <c r="F24" s="2"/>
      <c r="G24" s="2"/>
      <c r="H24" s="2"/>
      <c r="I24" s="2"/>
      <c r="J24" s="196"/>
      <c r="K24" s="2"/>
      <c r="L24" s="2"/>
      <c r="M24" s="2"/>
      <c r="N24" s="1"/>
      <c r="O24" s="1"/>
      <c r="P24" s="1"/>
      <c r="Q24" s="1"/>
      <c r="R24" s="1"/>
      <c r="S24" s="1"/>
      <c r="T24" s="1"/>
    </row>
    <row r="25" spans="1:20" ht="30" customHeight="1" x14ac:dyDescent="0.25">
      <c r="A25" s="308"/>
      <c r="B25" s="4" t="s">
        <v>1</v>
      </c>
      <c r="C25" s="5" t="s">
        <v>2</v>
      </c>
      <c r="D25" s="6" t="s">
        <v>3</v>
      </c>
      <c r="E25" s="7"/>
      <c r="F25" s="325" t="s">
        <v>138</v>
      </c>
      <c r="G25" s="326"/>
      <c r="H25" s="326"/>
      <c r="I25" s="326"/>
      <c r="J25" s="327"/>
      <c r="K25" s="207"/>
      <c r="L25" s="7"/>
      <c r="M25" s="7"/>
      <c r="N25" s="8"/>
      <c r="O25" s="8"/>
      <c r="P25" s="8"/>
      <c r="Q25" s="8"/>
      <c r="R25" s="8"/>
      <c r="S25" s="8"/>
      <c r="T25" s="8"/>
    </row>
    <row r="26" spans="1:20" x14ac:dyDescent="0.25">
      <c r="A26" s="308"/>
      <c r="B26" s="9" t="s">
        <v>4</v>
      </c>
      <c r="C26" s="112">
        <v>50000</v>
      </c>
      <c r="D26" s="10"/>
      <c r="E26" s="11"/>
      <c r="F26" s="328"/>
      <c r="G26" s="329"/>
      <c r="H26" s="329"/>
      <c r="I26" s="329"/>
      <c r="J26" s="330"/>
      <c r="K26" s="46"/>
      <c r="L26" s="11"/>
      <c r="M26" s="11"/>
      <c r="N26" s="12"/>
      <c r="O26" s="12"/>
      <c r="P26" s="12"/>
      <c r="Q26" s="12"/>
      <c r="R26" s="12"/>
      <c r="S26" s="12"/>
      <c r="T26" s="12"/>
    </row>
    <row r="27" spans="1:20" ht="15.75" thickBot="1" x14ac:dyDescent="0.3">
      <c r="A27" s="308"/>
      <c r="B27" s="9" t="s">
        <v>5</v>
      </c>
      <c r="C27" s="112">
        <v>140000</v>
      </c>
      <c r="D27" s="13">
        <v>25</v>
      </c>
      <c r="E27" s="11"/>
      <c r="F27" s="331"/>
      <c r="G27" s="332"/>
      <c r="H27" s="332"/>
      <c r="I27" s="332"/>
      <c r="J27" s="333"/>
      <c r="K27" s="11"/>
      <c r="L27" s="11"/>
      <c r="M27" s="11"/>
      <c r="N27" s="12"/>
      <c r="O27" s="12"/>
      <c r="P27" s="12"/>
      <c r="Q27" s="12"/>
      <c r="R27" s="12"/>
      <c r="S27" s="12"/>
      <c r="T27" s="12"/>
    </row>
    <row r="28" spans="1:20" x14ac:dyDescent="0.25">
      <c r="A28" s="308"/>
      <c r="B28" s="9" t="s">
        <v>6</v>
      </c>
      <c r="C28" s="47"/>
      <c r="D28" s="13"/>
      <c r="E28" s="11"/>
      <c r="F28" s="206"/>
      <c r="G28" s="206"/>
      <c r="H28" s="206"/>
      <c r="I28" s="206"/>
      <c r="J28" s="206"/>
      <c r="K28" s="11"/>
      <c r="L28" s="11"/>
      <c r="M28" s="11"/>
      <c r="N28" s="12"/>
      <c r="O28" s="12"/>
      <c r="P28" s="12"/>
      <c r="Q28" s="12"/>
      <c r="R28" s="12"/>
      <c r="S28" s="12"/>
      <c r="T28" s="12"/>
    </row>
    <row r="29" spans="1:20" x14ac:dyDescent="0.25">
      <c r="A29" s="308"/>
      <c r="B29" s="9" t="s">
        <v>7</v>
      </c>
      <c r="C29" s="112">
        <v>150000</v>
      </c>
      <c r="D29" s="13">
        <v>10</v>
      </c>
      <c r="E29" s="11"/>
      <c r="F29" s="205"/>
      <c r="G29" s="205"/>
      <c r="H29" s="205"/>
      <c r="I29" s="205"/>
      <c r="J29" s="205"/>
      <c r="K29" s="11"/>
      <c r="L29" s="11"/>
      <c r="M29" s="11"/>
      <c r="N29" s="12"/>
      <c r="O29" s="12"/>
      <c r="P29" s="12"/>
      <c r="Q29" s="12"/>
      <c r="R29" s="12"/>
      <c r="S29" s="12"/>
      <c r="T29" s="12"/>
    </row>
    <row r="30" spans="1:20" x14ac:dyDescent="0.25">
      <c r="A30" s="308"/>
      <c r="B30" s="9" t="s">
        <v>8</v>
      </c>
      <c r="C30" s="112">
        <v>40000</v>
      </c>
      <c r="D30" s="13">
        <v>10</v>
      </c>
      <c r="E30" s="11"/>
      <c r="F30" s="205"/>
      <c r="G30" s="205"/>
      <c r="H30" s="205"/>
      <c r="I30" s="205"/>
      <c r="J30" s="205"/>
      <c r="K30" s="11"/>
      <c r="L30" s="11"/>
      <c r="M30" s="11"/>
      <c r="N30" s="12"/>
      <c r="O30" s="12"/>
      <c r="P30" s="12"/>
      <c r="Q30" s="12"/>
      <c r="R30" s="12"/>
      <c r="S30" s="12"/>
      <c r="T30" s="12"/>
    </row>
    <row r="31" spans="1:20" ht="15.75" thickBot="1" x14ac:dyDescent="0.3">
      <c r="A31" s="308"/>
      <c r="B31" s="15" t="s">
        <v>9</v>
      </c>
      <c r="C31" s="113">
        <v>90000</v>
      </c>
      <c r="D31" s="16">
        <v>10</v>
      </c>
      <c r="E31" s="11"/>
      <c r="F31" s="205"/>
      <c r="G31" s="205"/>
      <c r="H31" s="205"/>
      <c r="I31" s="205"/>
      <c r="J31" s="205"/>
      <c r="K31" s="11"/>
      <c r="L31" s="11"/>
      <c r="M31" s="11"/>
      <c r="N31" s="12"/>
      <c r="O31" s="12"/>
      <c r="P31" s="12"/>
      <c r="Q31" s="12"/>
      <c r="R31" s="12"/>
      <c r="S31" s="12"/>
      <c r="T31" s="12"/>
    </row>
    <row r="32" spans="1:20" ht="33.75" thickBot="1" x14ac:dyDescent="0.3">
      <c r="A32" s="17"/>
      <c r="B32" s="18" t="s">
        <v>10</v>
      </c>
      <c r="C32" s="229">
        <f>SUM(C26:C31)</f>
        <v>470000</v>
      </c>
      <c r="D32" s="19"/>
      <c r="E32" s="11"/>
      <c r="F32" s="205"/>
      <c r="G32" s="205"/>
      <c r="H32" s="205"/>
      <c r="I32" s="205"/>
      <c r="J32" s="205"/>
      <c r="K32" s="11"/>
      <c r="L32" s="11"/>
      <c r="M32" s="11"/>
      <c r="N32" s="12"/>
      <c r="O32" s="12"/>
      <c r="P32" s="12"/>
      <c r="Q32" s="12"/>
      <c r="R32" s="12"/>
      <c r="S32" s="12"/>
      <c r="T32" s="12"/>
    </row>
    <row r="33" spans="1:20" ht="33" x14ac:dyDescent="0.25">
      <c r="A33" s="17"/>
      <c r="B33" s="20"/>
      <c r="C33" s="21"/>
      <c r="D33" s="22"/>
      <c r="E33" s="11"/>
      <c r="F33" s="46"/>
      <c r="G33" s="46"/>
      <c r="H33" s="46"/>
      <c r="I33" s="46"/>
      <c r="J33" s="46"/>
      <c r="K33" s="11"/>
      <c r="L33" s="11"/>
      <c r="M33" s="11"/>
      <c r="N33" s="12"/>
      <c r="O33" s="12"/>
      <c r="P33" s="12"/>
      <c r="Q33" s="12"/>
      <c r="R33" s="12"/>
      <c r="S33" s="12"/>
      <c r="T33" s="12"/>
    </row>
    <row r="34" spans="1:20" ht="16.5" thickBot="1" x14ac:dyDescent="0.3">
      <c r="A34" s="12"/>
      <c r="B34" s="334" t="s">
        <v>11</v>
      </c>
      <c r="C34" s="334"/>
      <c r="D34" s="11"/>
      <c r="E34" s="11"/>
      <c r="F34" s="11"/>
      <c r="G34" s="11"/>
      <c r="H34" s="11"/>
      <c r="I34" s="11"/>
      <c r="J34" s="11"/>
      <c r="K34" s="11"/>
      <c r="L34" s="11"/>
      <c r="M34" s="11"/>
      <c r="N34" s="12"/>
      <c r="O34" s="12"/>
      <c r="P34" s="12"/>
      <c r="Q34" s="12"/>
      <c r="R34" s="12"/>
      <c r="S34" s="12"/>
      <c r="T34" s="12"/>
    </row>
    <row r="35" spans="1:20" x14ac:dyDescent="0.25">
      <c r="A35" s="174"/>
      <c r="B35" s="127" t="s">
        <v>86</v>
      </c>
      <c r="C35" s="128" t="s">
        <v>87</v>
      </c>
      <c r="D35" s="11"/>
      <c r="E35" s="11"/>
      <c r="F35" s="11"/>
      <c r="G35" s="11"/>
      <c r="H35" s="11"/>
      <c r="I35" s="11"/>
      <c r="J35" s="11"/>
      <c r="K35" s="11"/>
      <c r="L35" s="11"/>
      <c r="M35" s="11"/>
      <c r="N35" s="12"/>
      <c r="O35" s="12"/>
      <c r="P35" s="12"/>
      <c r="Q35" s="12"/>
      <c r="R35" s="12"/>
      <c r="S35" s="12"/>
      <c r="T35" s="12"/>
    </row>
    <row r="36" spans="1:20" x14ac:dyDescent="0.25">
      <c r="A36" s="174"/>
      <c r="B36" s="23" t="s">
        <v>3</v>
      </c>
      <c r="C36" s="129">
        <v>10</v>
      </c>
      <c r="D36" s="11"/>
      <c r="E36" s="11"/>
      <c r="F36" s="11"/>
      <c r="G36" s="11"/>
      <c r="H36" s="11"/>
      <c r="I36" s="11"/>
      <c r="J36" s="11"/>
      <c r="K36" s="11"/>
      <c r="L36" s="11"/>
      <c r="M36" s="11"/>
      <c r="N36" s="12"/>
      <c r="O36" s="12"/>
      <c r="P36" s="12"/>
      <c r="Q36" s="12"/>
      <c r="R36" s="12"/>
      <c r="S36" s="12"/>
      <c r="T36" s="12"/>
    </row>
    <row r="37" spans="1:20" ht="15.75" thickBot="1" x14ac:dyDescent="0.3">
      <c r="A37" s="309"/>
      <c r="B37" s="24" t="s">
        <v>12</v>
      </c>
      <c r="C37" s="114">
        <v>5000</v>
      </c>
      <c r="D37" s="11"/>
      <c r="E37" s="11"/>
      <c r="F37" s="11"/>
      <c r="G37" s="11"/>
      <c r="H37" s="11"/>
      <c r="I37" s="11"/>
      <c r="J37" s="11"/>
      <c r="K37" s="11"/>
      <c r="L37" s="11"/>
      <c r="M37" s="11"/>
      <c r="N37" s="12"/>
      <c r="O37" s="12"/>
      <c r="P37" s="12"/>
      <c r="Q37" s="12"/>
      <c r="R37" s="12"/>
      <c r="S37" s="12"/>
      <c r="T37" s="12"/>
    </row>
    <row r="38" spans="1:20" ht="15" customHeight="1" x14ac:dyDescent="0.25">
      <c r="A38" s="309"/>
      <c r="B38" s="24" t="s">
        <v>13</v>
      </c>
      <c r="C38" s="114">
        <v>80</v>
      </c>
      <c r="D38" s="11"/>
      <c r="E38" s="11"/>
      <c r="F38" s="283" t="s">
        <v>151</v>
      </c>
      <c r="G38" s="284"/>
      <c r="H38" s="284"/>
      <c r="I38" s="284"/>
      <c r="J38" s="285"/>
      <c r="K38" s="11"/>
      <c r="L38" s="11"/>
      <c r="M38" s="11"/>
      <c r="N38" s="12"/>
      <c r="O38" s="12"/>
      <c r="P38" s="12"/>
      <c r="Q38" s="12"/>
      <c r="R38" s="12"/>
      <c r="S38" s="12"/>
      <c r="T38" s="12"/>
    </row>
    <row r="39" spans="1:20" x14ac:dyDescent="0.25">
      <c r="A39" s="309"/>
      <c r="B39" s="24" t="s">
        <v>14</v>
      </c>
      <c r="C39" s="114">
        <v>25</v>
      </c>
      <c r="D39" s="11"/>
      <c r="E39" s="11"/>
      <c r="F39" s="286"/>
      <c r="G39" s="287"/>
      <c r="H39" s="287"/>
      <c r="I39" s="287"/>
      <c r="J39" s="288"/>
      <c r="K39" s="11"/>
      <c r="L39" s="11"/>
      <c r="M39" s="11"/>
      <c r="N39" s="12"/>
      <c r="O39" s="12"/>
      <c r="P39" s="12"/>
      <c r="Q39" s="12"/>
      <c r="R39" s="12"/>
      <c r="S39" s="12"/>
      <c r="T39" s="12"/>
    </row>
    <row r="40" spans="1:20" x14ac:dyDescent="0.25">
      <c r="A40" s="309"/>
      <c r="B40" s="25" t="s">
        <v>15</v>
      </c>
      <c r="C40" s="130">
        <v>30000</v>
      </c>
      <c r="D40" s="11"/>
      <c r="E40" s="11"/>
      <c r="F40" s="286"/>
      <c r="G40" s="287"/>
      <c r="H40" s="287"/>
      <c r="I40" s="287"/>
      <c r="J40" s="288"/>
      <c r="K40" s="11"/>
      <c r="L40" s="11"/>
      <c r="M40" s="11"/>
      <c r="N40" s="12"/>
      <c r="O40" s="12"/>
      <c r="P40" s="12"/>
      <c r="Q40" s="12"/>
      <c r="R40" s="12"/>
      <c r="S40" s="12"/>
      <c r="T40" s="12"/>
    </row>
    <row r="41" spans="1:20" ht="33.75" thickBot="1" x14ac:dyDescent="0.3">
      <c r="A41" s="17"/>
      <c r="B41" s="24" t="s">
        <v>16</v>
      </c>
      <c r="C41" s="131">
        <v>0.11</v>
      </c>
      <c r="D41" s="11"/>
      <c r="E41" s="11"/>
      <c r="F41" s="289"/>
      <c r="G41" s="290"/>
      <c r="H41" s="290"/>
      <c r="I41" s="290"/>
      <c r="J41" s="291"/>
      <c r="K41" s="11"/>
      <c r="L41" s="11"/>
      <c r="M41" s="11"/>
      <c r="N41" s="12"/>
      <c r="O41" s="12"/>
      <c r="P41" s="12"/>
      <c r="Q41" s="12"/>
      <c r="R41" s="12"/>
      <c r="S41" s="12"/>
      <c r="T41" s="12"/>
    </row>
    <row r="42" spans="1:20" ht="33" x14ac:dyDescent="0.25">
      <c r="A42" s="17"/>
      <c r="B42" s="24" t="s">
        <v>17</v>
      </c>
      <c r="C42" s="131">
        <v>0.02</v>
      </c>
      <c r="D42" s="11"/>
      <c r="E42" s="11"/>
      <c r="F42" s="11"/>
      <c r="G42" s="11"/>
      <c r="H42" s="11"/>
      <c r="I42" s="11"/>
      <c r="J42" s="11"/>
      <c r="K42" s="11"/>
      <c r="L42" s="11"/>
      <c r="M42" s="11"/>
      <c r="N42" s="12"/>
      <c r="O42" s="12"/>
      <c r="P42" s="12"/>
      <c r="Q42" s="12"/>
      <c r="R42" s="12"/>
      <c r="S42" s="12"/>
      <c r="T42" s="12"/>
    </row>
    <row r="43" spans="1:20" ht="33.75" thickBot="1" x14ac:dyDescent="0.3">
      <c r="A43" s="17"/>
      <c r="B43" s="26" t="s">
        <v>18</v>
      </c>
      <c r="C43" s="132">
        <v>0.22</v>
      </c>
      <c r="D43" s="11"/>
      <c r="E43" s="11"/>
      <c r="F43" s="11"/>
      <c r="G43" s="11"/>
      <c r="H43" s="11"/>
      <c r="I43" s="11"/>
      <c r="J43" s="11"/>
      <c r="K43" s="11"/>
      <c r="L43" s="11"/>
      <c r="M43" s="11"/>
      <c r="N43" s="12"/>
      <c r="O43" s="12"/>
      <c r="P43" s="12"/>
      <c r="Q43" s="12"/>
      <c r="R43" s="12"/>
      <c r="S43" s="12"/>
      <c r="T43" s="12"/>
    </row>
    <row r="44" spans="1:20" x14ac:dyDescent="0.25">
      <c r="A44" s="12"/>
      <c r="B44" s="12"/>
      <c r="C44" s="11"/>
      <c r="D44" s="11"/>
      <c r="E44" s="11"/>
      <c r="F44" s="11"/>
      <c r="G44" s="11"/>
      <c r="H44" s="11"/>
      <c r="I44" s="11"/>
      <c r="J44" s="11"/>
      <c r="K44" s="11"/>
      <c r="L44" s="11"/>
      <c r="M44" s="11"/>
      <c r="N44" s="12"/>
      <c r="O44" s="12"/>
      <c r="P44" s="12"/>
      <c r="Q44" s="12"/>
      <c r="R44" s="12"/>
      <c r="S44" s="12"/>
      <c r="T44" s="12"/>
    </row>
    <row r="45" spans="1:20" ht="20.25" x14ac:dyDescent="0.3">
      <c r="A45" s="1"/>
      <c r="B45" s="3"/>
      <c r="C45" s="11"/>
      <c r="D45" s="11"/>
      <c r="E45" s="11"/>
      <c r="F45" s="11"/>
      <c r="G45" s="11"/>
      <c r="H45" s="11"/>
      <c r="I45" s="11"/>
      <c r="J45" s="11"/>
      <c r="K45" s="11"/>
      <c r="L45" s="11"/>
      <c r="M45" s="11"/>
      <c r="N45" s="12"/>
      <c r="O45" s="12"/>
      <c r="P45" s="12"/>
      <c r="Q45" s="12"/>
      <c r="R45" s="12"/>
      <c r="S45" s="12"/>
      <c r="T45" s="12"/>
    </row>
    <row r="46" spans="1:20" ht="16.5" thickBot="1" x14ac:dyDescent="0.3">
      <c r="A46" s="12"/>
      <c r="B46" s="202" t="s">
        <v>19</v>
      </c>
      <c r="C46" s="11"/>
      <c r="D46" s="11"/>
      <c r="E46" s="11"/>
      <c r="F46" s="11"/>
      <c r="G46" s="11"/>
      <c r="H46" s="11"/>
      <c r="I46" s="11"/>
      <c r="J46" s="11"/>
      <c r="K46" s="11"/>
      <c r="L46" s="11"/>
      <c r="M46" s="11"/>
      <c r="N46" s="12"/>
      <c r="O46" s="12"/>
      <c r="P46" s="12"/>
      <c r="Q46" s="12"/>
      <c r="R46" s="12"/>
      <c r="S46" s="12"/>
      <c r="T46" s="12"/>
    </row>
    <row r="47" spans="1:20" ht="15.75" thickTop="1" x14ac:dyDescent="0.25">
      <c r="A47" s="336"/>
      <c r="B47" s="27" t="s">
        <v>20</v>
      </c>
      <c r="C47" s="28">
        <v>1</v>
      </c>
      <c r="D47" s="28">
        <v>2</v>
      </c>
      <c r="E47" s="28">
        <v>3</v>
      </c>
      <c r="F47" s="28">
        <v>4</v>
      </c>
      <c r="G47" s="28">
        <v>5</v>
      </c>
      <c r="H47" s="28">
        <v>6</v>
      </c>
      <c r="I47" s="28">
        <v>7</v>
      </c>
      <c r="J47" s="28">
        <v>8</v>
      </c>
      <c r="K47" s="28">
        <v>9</v>
      </c>
      <c r="L47" s="29">
        <v>10</v>
      </c>
      <c r="M47" s="30"/>
      <c r="N47" s="12"/>
      <c r="O47" s="12"/>
      <c r="P47" s="12"/>
      <c r="Q47" s="12"/>
      <c r="R47" s="12"/>
      <c r="S47" s="12"/>
      <c r="T47" s="12"/>
    </row>
    <row r="48" spans="1:20" x14ac:dyDescent="0.25">
      <c r="A48" s="336"/>
      <c r="B48" s="31" t="s">
        <v>21</v>
      </c>
      <c r="C48" s="14">
        <v>60</v>
      </c>
      <c r="D48" s="14">
        <v>80</v>
      </c>
      <c r="E48" s="14">
        <v>100</v>
      </c>
      <c r="F48" s="14">
        <v>100</v>
      </c>
      <c r="G48" s="14">
        <v>100</v>
      </c>
      <c r="H48" s="14">
        <v>100</v>
      </c>
      <c r="I48" s="14">
        <v>100</v>
      </c>
      <c r="J48" s="14">
        <v>100</v>
      </c>
      <c r="K48" s="14">
        <v>100</v>
      </c>
      <c r="L48" s="32">
        <v>100</v>
      </c>
      <c r="M48" s="11"/>
      <c r="N48" s="12"/>
      <c r="O48" s="12"/>
      <c r="P48" s="12"/>
      <c r="Q48" s="12"/>
      <c r="R48" s="12"/>
      <c r="S48" s="12"/>
      <c r="T48" s="12"/>
    </row>
    <row r="49" spans="1:20" x14ac:dyDescent="0.25">
      <c r="A49" s="336"/>
      <c r="B49" s="31" t="s">
        <v>22</v>
      </c>
      <c r="C49" s="14">
        <f>$C37*C48/100</f>
        <v>3000</v>
      </c>
      <c r="D49" s="14">
        <f t="shared" ref="D49:L49" si="0">$C37*D48/100</f>
        <v>4000</v>
      </c>
      <c r="E49" s="14">
        <f t="shared" si="0"/>
        <v>5000</v>
      </c>
      <c r="F49" s="14">
        <f t="shared" si="0"/>
        <v>5000</v>
      </c>
      <c r="G49" s="14">
        <f t="shared" si="0"/>
        <v>5000</v>
      </c>
      <c r="H49" s="14">
        <f t="shared" si="0"/>
        <v>5000</v>
      </c>
      <c r="I49" s="14">
        <f t="shared" si="0"/>
        <v>5000</v>
      </c>
      <c r="J49" s="14">
        <f t="shared" si="0"/>
        <v>5000</v>
      </c>
      <c r="K49" s="14">
        <f t="shared" si="0"/>
        <v>5000</v>
      </c>
      <c r="L49" s="14">
        <f t="shared" si="0"/>
        <v>5000</v>
      </c>
      <c r="M49" s="11"/>
      <c r="N49" s="12"/>
      <c r="O49" s="12"/>
      <c r="P49" s="12"/>
      <c r="Q49" s="12"/>
      <c r="R49" s="12"/>
      <c r="S49" s="12"/>
      <c r="T49" s="12"/>
    </row>
    <row r="50" spans="1:20" x14ac:dyDescent="0.25">
      <c r="A50" s="336"/>
      <c r="B50" s="31" t="s">
        <v>23</v>
      </c>
      <c r="C50" s="14">
        <f>C49*$C$38</f>
        <v>240000</v>
      </c>
      <c r="D50" s="14">
        <f t="shared" ref="D50:L50" si="1">D49*$C$38</f>
        <v>320000</v>
      </c>
      <c r="E50" s="14">
        <f t="shared" si="1"/>
        <v>400000</v>
      </c>
      <c r="F50" s="14">
        <f t="shared" si="1"/>
        <v>400000</v>
      </c>
      <c r="G50" s="14">
        <f t="shared" si="1"/>
        <v>400000</v>
      </c>
      <c r="H50" s="14">
        <f t="shared" si="1"/>
        <v>400000</v>
      </c>
      <c r="I50" s="14">
        <f t="shared" si="1"/>
        <v>400000</v>
      </c>
      <c r="J50" s="14">
        <f t="shared" si="1"/>
        <v>400000</v>
      </c>
      <c r="K50" s="14">
        <f t="shared" si="1"/>
        <v>400000</v>
      </c>
      <c r="L50" s="14">
        <f t="shared" si="1"/>
        <v>400000</v>
      </c>
      <c r="M50" s="11"/>
      <c r="N50" s="12"/>
      <c r="O50" s="12"/>
      <c r="P50" s="12"/>
      <c r="Q50" s="12"/>
      <c r="R50" s="12"/>
      <c r="S50" s="12"/>
      <c r="T50" s="12"/>
    </row>
    <row r="51" spans="1:20" x14ac:dyDescent="0.25">
      <c r="A51" s="336"/>
      <c r="B51" s="31" t="s">
        <v>24</v>
      </c>
      <c r="C51" s="14">
        <f>$C$39*C49</f>
        <v>75000</v>
      </c>
      <c r="D51" s="14">
        <f t="shared" ref="D51:L51" si="2">$C$39*D49</f>
        <v>100000</v>
      </c>
      <c r="E51" s="14">
        <f t="shared" si="2"/>
        <v>125000</v>
      </c>
      <c r="F51" s="14">
        <f t="shared" si="2"/>
        <v>125000</v>
      </c>
      <c r="G51" s="14">
        <f t="shared" si="2"/>
        <v>125000</v>
      </c>
      <c r="H51" s="14">
        <f t="shared" si="2"/>
        <v>125000</v>
      </c>
      <c r="I51" s="14">
        <f t="shared" si="2"/>
        <v>125000</v>
      </c>
      <c r="J51" s="14">
        <f t="shared" si="2"/>
        <v>125000</v>
      </c>
      <c r="K51" s="14">
        <f t="shared" si="2"/>
        <v>125000</v>
      </c>
      <c r="L51" s="14">
        <f t="shared" si="2"/>
        <v>125000</v>
      </c>
      <c r="M51" s="11"/>
      <c r="N51" s="12"/>
      <c r="O51" s="12"/>
      <c r="P51" s="12"/>
      <c r="Q51" s="12"/>
      <c r="R51" s="12"/>
      <c r="S51" s="12"/>
      <c r="T51" s="12"/>
    </row>
    <row r="52" spans="1:20" ht="15.75" thickBot="1" x14ac:dyDescent="0.3">
      <c r="A52" s="336"/>
      <c r="B52" s="33" t="s">
        <v>25</v>
      </c>
      <c r="C52" s="34">
        <f>$C40</f>
        <v>30000</v>
      </c>
      <c r="D52" s="34">
        <f t="shared" ref="D52:L52" si="3">$C40</f>
        <v>30000</v>
      </c>
      <c r="E52" s="34">
        <f t="shared" si="3"/>
        <v>30000</v>
      </c>
      <c r="F52" s="34">
        <f t="shared" si="3"/>
        <v>30000</v>
      </c>
      <c r="G52" s="34">
        <f t="shared" si="3"/>
        <v>30000</v>
      </c>
      <c r="H52" s="34">
        <f t="shared" si="3"/>
        <v>30000</v>
      </c>
      <c r="I52" s="34">
        <f t="shared" si="3"/>
        <v>30000</v>
      </c>
      <c r="J52" s="34">
        <f t="shared" si="3"/>
        <v>30000</v>
      </c>
      <c r="K52" s="34">
        <f t="shared" si="3"/>
        <v>30000</v>
      </c>
      <c r="L52" s="34">
        <f t="shared" si="3"/>
        <v>30000</v>
      </c>
      <c r="M52" s="11"/>
      <c r="N52" s="12"/>
      <c r="O52" s="12"/>
      <c r="P52" s="12"/>
      <c r="Q52" s="12"/>
      <c r="R52" s="12"/>
      <c r="S52" s="12"/>
      <c r="T52" s="12"/>
    </row>
    <row r="53" spans="1:20" ht="15.75" thickTop="1" x14ac:dyDescent="0.25">
      <c r="A53" s="12"/>
      <c r="B53" s="12"/>
      <c r="C53" s="11"/>
      <c r="D53" s="11"/>
      <c r="E53" s="11"/>
      <c r="F53" s="11"/>
      <c r="G53" s="11"/>
      <c r="H53" s="11"/>
      <c r="I53" s="11"/>
      <c r="J53" s="11"/>
      <c r="K53" s="11"/>
      <c r="L53" s="11"/>
      <c r="M53" s="11"/>
      <c r="N53" s="12"/>
      <c r="O53" s="12"/>
      <c r="P53" s="12"/>
      <c r="Q53" s="12"/>
      <c r="R53" s="12"/>
      <c r="S53" s="12"/>
      <c r="T53" s="12"/>
    </row>
    <row r="54" spans="1:20" ht="15.75" thickBot="1" x14ac:dyDescent="0.3">
      <c r="A54" s="12"/>
      <c r="B54" s="12"/>
      <c r="C54" s="11"/>
      <c r="D54" s="11"/>
      <c r="E54" s="11"/>
      <c r="F54" s="11"/>
      <c r="G54" s="11"/>
      <c r="H54" s="11"/>
      <c r="I54" s="11"/>
      <c r="J54" s="11"/>
      <c r="K54" s="11"/>
      <c r="L54" s="11"/>
      <c r="M54" s="11"/>
      <c r="N54" s="12"/>
      <c r="O54" s="12"/>
      <c r="P54" s="12"/>
      <c r="Q54" s="12"/>
      <c r="R54" s="12"/>
      <c r="S54" s="12"/>
      <c r="T54" s="12"/>
    </row>
    <row r="55" spans="1:20" x14ac:dyDescent="0.25">
      <c r="A55" s="12"/>
      <c r="B55" s="12"/>
      <c r="C55" s="11"/>
      <c r="D55" s="11"/>
      <c r="E55" s="11"/>
      <c r="F55" s="283" t="s">
        <v>152</v>
      </c>
      <c r="G55" s="284"/>
      <c r="H55" s="284"/>
      <c r="I55" s="284"/>
      <c r="J55" s="285"/>
      <c r="K55" s="11"/>
      <c r="L55" s="11"/>
      <c r="M55" s="11"/>
      <c r="N55" s="12"/>
      <c r="O55" s="12"/>
      <c r="P55" s="12"/>
      <c r="Q55" s="12"/>
      <c r="R55" s="12"/>
      <c r="S55" s="12"/>
      <c r="T55" s="12"/>
    </row>
    <row r="56" spans="1:20" x14ac:dyDescent="0.25">
      <c r="A56" s="12"/>
      <c r="B56" s="12"/>
      <c r="C56" s="11"/>
      <c r="D56" s="11"/>
      <c r="E56" s="11"/>
      <c r="F56" s="286"/>
      <c r="G56" s="287"/>
      <c r="H56" s="287"/>
      <c r="I56" s="287"/>
      <c r="J56" s="288"/>
      <c r="K56" s="11"/>
      <c r="L56" s="11"/>
      <c r="M56" s="11"/>
      <c r="N56" s="12"/>
      <c r="O56" s="12"/>
      <c r="P56" s="12"/>
      <c r="Q56" s="12"/>
      <c r="R56" s="12"/>
      <c r="S56" s="12"/>
      <c r="T56" s="12"/>
    </row>
    <row r="57" spans="1:20" x14ac:dyDescent="0.25">
      <c r="A57" s="12"/>
      <c r="B57" s="12"/>
      <c r="C57" s="11"/>
      <c r="D57" s="11"/>
      <c r="E57" s="11"/>
      <c r="F57" s="286"/>
      <c r="G57" s="287"/>
      <c r="H57" s="287"/>
      <c r="I57" s="287"/>
      <c r="J57" s="288"/>
      <c r="K57" s="11"/>
      <c r="L57" s="11"/>
      <c r="M57" s="11"/>
      <c r="N57" s="12"/>
      <c r="O57" s="12"/>
      <c r="P57" s="12"/>
      <c r="Q57" s="12"/>
      <c r="R57" s="12"/>
      <c r="S57" s="12"/>
      <c r="T57" s="12"/>
    </row>
    <row r="58" spans="1:20" ht="15.75" thickBot="1" x14ac:dyDescent="0.3">
      <c r="A58" s="12"/>
      <c r="B58" s="12"/>
      <c r="C58" s="11"/>
      <c r="D58" s="11"/>
      <c r="E58" s="11"/>
      <c r="F58" s="289"/>
      <c r="G58" s="290"/>
      <c r="H58" s="290"/>
      <c r="I58" s="290"/>
      <c r="J58" s="291"/>
      <c r="K58" s="11"/>
      <c r="L58" s="11"/>
      <c r="M58" s="11"/>
      <c r="N58" s="12"/>
      <c r="O58" s="12"/>
      <c r="P58" s="12"/>
      <c r="Q58" s="12"/>
      <c r="R58" s="12"/>
      <c r="S58" s="12"/>
      <c r="T58" s="12"/>
    </row>
    <row r="59" spans="1:20" ht="20.25" x14ac:dyDescent="0.25">
      <c r="A59" s="35"/>
      <c r="B59" s="12"/>
      <c r="C59" s="11"/>
      <c r="D59" s="11"/>
      <c r="E59" s="11"/>
      <c r="F59" s="11"/>
      <c r="G59" s="11"/>
      <c r="H59" s="11"/>
      <c r="I59" s="11"/>
      <c r="J59" s="11"/>
      <c r="K59" s="11"/>
      <c r="L59" s="11"/>
      <c r="M59" s="11"/>
      <c r="N59" s="12"/>
      <c r="O59" s="12"/>
      <c r="P59" s="12"/>
      <c r="Q59" s="12"/>
      <c r="R59" s="12"/>
      <c r="S59" s="12"/>
      <c r="T59" s="12"/>
    </row>
    <row r="60" spans="1:20" ht="16.5" thickBot="1" x14ac:dyDescent="0.3">
      <c r="A60" s="36"/>
      <c r="B60" s="202" t="s">
        <v>26</v>
      </c>
      <c r="C60" s="11"/>
      <c r="D60" s="11"/>
      <c r="E60" s="11"/>
      <c r="F60" s="11"/>
      <c r="G60" s="11"/>
      <c r="H60" s="11"/>
      <c r="I60" s="11"/>
      <c r="J60" s="11"/>
      <c r="K60" s="11"/>
      <c r="L60" s="11"/>
      <c r="M60" s="11"/>
      <c r="N60" s="12"/>
      <c r="O60" s="12"/>
      <c r="P60" s="12"/>
      <c r="Q60" s="12"/>
      <c r="R60" s="12"/>
      <c r="S60" s="12"/>
      <c r="T60" s="12"/>
    </row>
    <row r="61" spans="1:20" x14ac:dyDescent="0.25">
      <c r="A61" s="309"/>
      <c r="B61" s="37"/>
      <c r="C61" s="38"/>
      <c r="D61" s="38"/>
      <c r="E61" s="38"/>
      <c r="F61" s="323" t="s">
        <v>27</v>
      </c>
      <c r="G61" s="324"/>
      <c r="H61" s="11"/>
      <c r="I61" s="11"/>
      <c r="J61" s="11"/>
      <c r="K61" s="11"/>
      <c r="L61" s="11"/>
      <c r="M61" s="11"/>
      <c r="N61" s="12"/>
      <c r="O61" s="12"/>
      <c r="P61" s="12"/>
      <c r="Q61" s="12"/>
      <c r="R61" s="12"/>
      <c r="S61" s="12"/>
      <c r="T61" s="12"/>
    </row>
    <row r="62" spans="1:20" ht="15.75" thickBot="1" x14ac:dyDescent="0.3">
      <c r="A62" s="309"/>
      <c r="B62" s="39" t="s">
        <v>1</v>
      </c>
      <c r="C62" s="121" t="s">
        <v>28</v>
      </c>
      <c r="D62" s="121" t="s">
        <v>29</v>
      </c>
      <c r="E62" s="121" t="s">
        <v>30</v>
      </c>
      <c r="F62" s="121" t="s">
        <v>31</v>
      </c>
      <c r="G62" s="122" t="s">
        <v>32</v>
      </c>
      <c r="H62" s="11"/>
      <c r="I62" s="11"/>
      <c r="J62" s="11"/>
      <c r="K62" s="11"/>
      <c r="L62" s="11"/>
      <c r="M62" s="11"/>
      <c r="N62" s="12"/>
      <c r="O62" s="12"/>
      <c r="P62" s="12"/>
      <c r="Q62" s="12"/>
      <c r="R62" s="12"/>
      <c r="S62" s="12"/>
      <c r="T62" s="12"/>
    </row>
    <row r="63" spans="1:20" x14ac:dyDescent="0.25">
      <c r="A63" s="309"/>
      <c r="B63" s="40" t="s">
        <v>5</v>
      </c>
      <c r="C63" s="51">
        <f>C27</f>
        <v>140000</v>
      </c>
      <c r="D63" s="51">
        <f>D27</f>
        <v>25</v>
      </c>
      <c r="E63" s="51">
        <f>C63/D63</f>
        <v>5600</v>
      </c>
      <c r="F63" s="47"/>
      <c r="G63" s="244">
        <f>C63-(E63*10)</f>
        <v>84000</v>
      </c>
      <c r="H63" s="11"/>
      <c r="I63" s="283" t="s">
        <v>153</v>
      </c>
      <c r="J63" s="284"/>
      <c r="K63" s="284"/>
      <c r="L63" s="284"/>
      <c r="M63" s="285"/>
      <c r="N63" s="12"/>
      <c r="O63" s="12"/>
      <c r="P63" s="12"/>
      <c r="Q63" s="12"/>
      <c r="R63" s="12"/>
      <c r="S63" s="12"/>
      <c r="T63" s="12"/>
    </row>
    <row r="64" spans="1:20" x14ac:dyDescent="0.25">
      <c r="A64" s="309"/>
      <c r="B64" s="40" t="s">
        <v>7</v>
      </c>
      <c r="C64" s="51">
        <f t="shared" ref="C64:D66" si="4">C29</f>
        <v>150000</v>
      </c>
      <c r="D64" s="51">
        <f t="shared" si="4"/>
        <v>10</v>
      </c>
      <c r="E64" s="51">
        <f>+C64/10</f>
        <v>15000</v>
      </c>
      <c r="F64" s="47"/>
      <c r="G64" s="114"/>
      <c r="H64" s="11"/>
      <c r="I64" s="286"/>
      <c r="J64" s="287"/>
      <c r="K64" s="287"/>
      <c r="L64" s="287"/>
      <c r="M64" s="288"/>
      <c r="N64" s="12"/>
      <c r="O64" s="12"/>
      <c r="P64" s="12"/>
      <c r="Q64" s="12"/>
      <c r="R64" s="12"/>
      <c r="S64" s="12"/>
      <c r="T64" s="12"/>
    </row>
    <row r="65" spans="1:20" x14ac:dyDescent="0.25">
      <c r="A65" s="309"/>
      <c r="B65" s="40" t="s">
        <v>8</v>
      </c>
      <c r="C65" s="51">
        <f t="shared" si="4"/>
        <v>40000</v>
      </c>
      <c r="D65" s="51">
        <f t="shared" si="4"/>
        <v>10</v>
      </c>
      <c r="E65" s="51">
        <f>+C65/10</f>
        <v>4000</v>
      </c>
      <c r="F65" s="51"/>
      <c r="G65" s="114"/>
      <c r="H65" s="11"/>
      <c r="I65" s="286"/>
      <c r="J65" s="287"/>
      <c r="K65" s="287"/>
      <c r="L65" s="287"/>
      <c r="M65" s="288"/>
      <c r="N65" s="12"/>
      <c r="O65" s="12"/>
      <c r="P65" s="12"/>
      <c r="Q65" s="12"/>
      <c r="R65" s="12"/>
      <c r="S65" s="12"/>
      <c r="T65" s="12"/>
    </row>
    <row r="66" spans="1:20" ht="15.75" thickBot="1" x14ac:dyDescent="0.3">
      <c r="A66" s="309"/>
      <c r="B66" s="42" t="s">
        <v>9</v>
      </c>
      <c r="C66" s="115">
        <f t="shared" si="4"/>
        <v>90000</v>
      </c>
      <c r="D66" s="115">
        <f t="shared" si="4"/>
        <v>10</v>
      </c>
      <c r="E66" s="115">
        <f>+C66/D66</f>
        <v>9000</v>
      </c>
      <c r="F66" s="116"/>
      <c r="G66" s="117"/>
      <c r="H66" s="11"/>
      <c r="I66" s="289"/>
      <c r="J66" s="290"/>
      <c r="K66" s="290"/>
      <c r="L66" s="290"/>
      <c r="M66" s="291"/>
      <c r="N66" s="12"/>
      <c r="O66" s="12"/>
      <c r="P66" s="12"/>
      <c r="Q66" s="12"/>
      <c r="R66" s="12"/>
      <c r="S66" s="12"/>
      <c r="T66" s="12"/>
    </row>
    <row r="67" spans="1:20" ht="33.75" thickBot="1" x14ac:dyDescent="0.3">
      <c r="A67" s="17"/>
      <c r="B67" s="43" t="s">
        <v>33</v>
      </c>
      <c r="C67" s="118"/>
      <c r="D67" s="118"/>
      <c r="E67" s="228">
        <f>SUM(E63:E66)</f>
        <v>33600</v>
      </c>
      <c r="F67" s="119"/>
      <c r="G67" s="120"/>
      <c r="H67" s="11"/>
      <c r="I67" s="11"/>
      <c r="J67" s="11"/>
      <c r="K67" s="11"/>
      <c r="L67" s="11"/>
      <c r="M67" s="11"/>
      <c r="N67" s="12"/>
      <c r="O67" s="12"/>
      <c r="P67" s="12"/>
      <c r="Q67" s="12"/>
      <c r="R67" s="12"/>
      <c r="S67" s="12"/>
      <c r="T67" s="12"/>
    </row>
    <row r="68" spans="1:20" ht="33" x14ac:dyDescent="0.25">
      <c r="A68" s="17"/>
      <c r="B68" s="44"/>
      <c r="C68" s="45"/>
      <c r="D68" s="45"/>
      <c r="E68" s="45"/>
      <c r="F68" s="46"/>
      <c r="G68" s="45"/>
      <c r="H68" s="11"/>
      <c r="I68" s="11"/>
      <c r="J68" s="11"/>
      <c r="K68" s="11"/>
      <c r="L68" s="11"/>
      <c r="M68" s="11"/>
      <c r="N68" s="12"/>
      <c r="O68" s="12"/>
      <c r="P68" s="12"/>
      <c r="Q68" s="12"/>
      <c r="R68" s="12"/>
      <c r="S68" s="12"/>
      <c r="T68" s="12"/>
    </row>
    <row r="69" spans="1:20" ht="20.25" x14ac:dyDescent="0.3">
      <c r="A69" s="1"/>
      <c r="B69" s="202" t="s">
        <v>34</v>
      </c>
      <c r="C69" s="2"/>
      <c r="D69" s="2"/>
      <c r="E69" s="2"/>
      <c r="F69" s="2"/>
      <c r="G69" s="2"/>
      <c r="H69" s="2"/>
      <c r="I69" s="2"/>
      <c r="J69" s="2"/>
      <c r="K69" s="2"/>
      <c r="L69" s="2"/>
      <c r="M69" s="2"/>
      <c r="N69" s="1"/>
      <c r="O69" s="1"/>
      <c r="P69" s="1"/>
      <c r="Q69" s="1"/>
      <c r="R69" s="1"/>
      <c r="S69" s="1"/>
      <c r="T69" s="1"/>
    </row>
    <row r="70" spans="1:20" ht="15.75" thickBot="1" x14ac:dyDescent="0.3">
      <c r="A70" s="309"/>
      <c r="B70" s="335" t="s">
        <v>35</v>
      </c>
      <c r="C70" s="335"/>
      <c r="D70" s="133" t="s">
        <v>36</v>
      </c>
      <c r="E70" s="133" t="s">
        <v>37</v>
      </c>
      <c r="F70" s="14"/>
      <c r="G70" s="11"/>
      <c r="H70" s="11"/>
      <c r="I70" s="11"/>
      <c r="J70" s="11"/>
      <c r="K70" s="11"/>
      <c r="L70" s="11"/>
      <c r="M70" s="11"/>
      <c r="N70" s="12"/>
      <c r="O70" s="12"/>
      <c r="P70" s="12"/>
      <c r="Q70" s="12"/>
      <c r="R70" s="12"/>
      <c r="S70" s="12"/>
      <c r="T70" s="12"/>
    </row>
    <row r="71" spans="1:20" x14ac:dyDescent="0.25">
      <c r="A71" s="309"/>
      <c r="B71" s="48" t="s">
        <v>38</v>
      </c>
      <c r="C71" s="49" t="s">
        <v>39</v>
      </c>
      <c r="D71" s="50">
        <v>0.25</v>
      </c>
      <c r="E71" s="14">
        <f>C50</f>
        <v>240000</v>
      </c>
      <c r="F71" s="14">
        <f>D71*E71</f>
        <v>60000</v>
      </c>
      <c r="G71" s="11"/>
      <c r="H71" s="283" t="s">
        <v>154</v>
      </c>
      <c r="I71" s="284"/>
      <c r="J71" s="284"/>
      <c r="K71" s="284"/>
      <c r="L71" s="285"/>
      <c r="M71" s="11"/>
      <c r="N71" s="12"/>
      <c r="O71" s="12"/>
      <c r="P71" s="12"/>
      <c r="Q71" s="12"/>
      <c r="R71" s="12"/>
      <c r="S71" s="12"/>
      <c r="T71" s="12"/>
    </row>
    <row r="72" spans="1:20" ht="29.25" thickBot="1" x14ac:dyDescent="0.3">
      <c r="A72" s="309"/>
      <c r="B72" s="220" t="s">
        <v>40</v>
      </c>
      <c r="C72" s="221" t="s">
        <v>41</v>
      </c>
      <c r="D72" s="222">
        <v>0.3</v>
      </c>
      <c r="E72" s="223">
        <f>C51+C52</f>
        <v>105000</v>
      </c>
      <c r="F72" s="223">
        <f>D72*E72</f>
        <v>31500</v>
      </c>
      <c r="G72" s="11"/>
      <c r="H72" s="286"/>
      <c r="I72" s="287"/>
      <c r="J72" s="287"/>
      <c r="K72" s="287"/>
      <c r="L72" s="288"/>
      <c r="M72" s="11"/>
      <c r="N72" s="12"/>
      <c r="O72" s="12"/>
      <c r="P72" s="12"/>
      <c r="Q72" s="12"/>
      <c r="R72" s="12"/>
      <c r="S72" s="12"/>
      <c r="T72" s="12"/>
    </row>
    <row r="73" spans="1:20" ht="15.75" thickBot="1" x14ac:dyDescent="0.3">
      <c r="A73" s="309"/>
      <c r="B73" s="224" t="s">
        <v>42</v>
      </c>
      <c r="C73" s="225" t="s">
        <v>43</v>
      </c>
      <c r="D73" s="226"/>
      <c r="E73" s="226"/>
      <c r="F73" s="231">
        <f>F71-F72</f>
        <v>28500</v>
      </c>
      <c r="G73" s="11"/>
      <c r="H73" s="289"/>
      <c r="I73" s="290"/>
      <c r="J73" s="290"/>
      <c r="K73" s="290"/>
      <c r="L73" s="291"/>
      <c r="M73" s="11"/>
      <c r="N73" s="12"/>
      <c r="O73" s="12"/>
      <c r="P73" s="12"/>
      <c r="Q73" s="12"/>
      <c r="R73" s="12"/>
      <c r="S73" s="12"/>
      <c r="T73" s="12"/>
    </row>
    <row r="74" spans="1:20" x14ac:dyDescent="0.25">
      <c r="A74" s="12"/>
      <c r="B74" s="12"/>
      <c r="C74" s="11"/>
      <c r="D74" s="11"/>
      <c r="E74" s="11"/>
      <c r="F74" s="11"/>
      <c r="G74" s="11"/>
      <c r="H74" s="11"/>
      <c r="I74" s="11"/>
      <c r="J74" s="11"/>
      <c r="K74" s="11"/>
      <c r="L74" s="11"/>
      <c r="M74" s="11"/>
      <c r="N74" s="12"/>
      <c r="O74" s="12"/>
      <c r="P74" s="12"/>
      <c r="Q74" s="12"/>
      <c r="R74" s="12"/>
      <c r="S74" s="12"/>
      <c r="T74" s="12"/>
    </row>
    <row r="75" spans="1:20" ht="21" thickBot="1" x14ac:dyDescent="0.35">
      <c r="A75" s="1"/>
      <c r="B75" s="202" t="s">
        <v>44</v>
      </c>
      <c r="C75" s="11"/>
      <c r="D75" s="11"/>
      <c r="E75" s="11"/>
      <c r="F75" s="11"/>
      <c r="G75" s="11"/>
      <c r="H75" s="11"/>
      <c r="I75" s="11"/>
      <c r="J75" s="11"/>
      <c r="K75" s="11"/>
      <c r="L75" s="11"/>
      <c r="M75" s="11"/>
      <c r="N75" s="12"/>
      <c r="O75" s="12"/>
      <c r="P75" s="12"/>
      <c r="Q75" s="12"/>
      <c r="R75" s="12"/>
      <c r="S75" s="12"/>
      <c r="T75" s="12"/>
    </row>
    <row r="76" spans="1:20" x14ac:dyDescent="0.25">
      <c r="A76" s="308"/>
      <c r="B76" s="52" t="s">
        <v>45</v>
      </c>
      <c r="C76" s="53">
        <v>1</v>
      </c>
      <c r="D76" s="53">
        <v>2</v>
      </c>
      <c r="E76" s="53">
        <v>3</v>
      </c>
      <c r="F76" s="53">
        <v>4</v>
      </c>
      <c r="G76" s="53">
        <v>5</v>
      </c>
      <c r="H76" s="53">
        <v>6</v>
      </c>
      <c r="I76" s="53">
        <v>7</v>
      </c>
      <c r="J76" s="53">
        <v>8</v>
      </c>
      <c r="K76" s="53">
        <v>9</v>
      </c>
      <c r="L76" s="54">
        <v>10</v>
      </c>
      <c r="M76" s="30"/>
      <c r="N76" s="12"/>
      <c r="O76" s="12"/>
      <c r="P76" s="12"/>
      <c r="Q76" s="12"/>
      <c r="R76" s="12"/>
      <c r="S76" s="12"/>
      <c r="T76" s="12"/>
    </row>
    <row r="77" spans="1:20" x14ac:dyDescent="0.25">
      <c r="A77" s="308"/>
      <c r="B77" s="24" t="s">
        <v>46</v>
      </c>
      <c r="C77" s="41">
        <f>C50</f>
        <v>240000</v>
      </c>
      <c r="D77" s="41">
        <f t="shared" ref="D77:L77" si="5">D50</f>
        <v>320000</v>
      </c>
      <c r="E77" s="41">
        <f t="shared" si="5"/>
        <v>400000</v>
      </c>
      <c r="F77" s="41">
        <f t="shared" si="5"/>
        <v>400000</v>
      </c>
      <c r="G77" s="41">
        <f t="shared" si="5"/>
        <v>400000</v>
      </c>
      <c r="H77" s="41">
        <f t="shared" si="5"/>
        <v>400000</v>
      </c>
      <c r="I77" s="41">
        <f t="shared" si="5"/>
        <v>400000</v>
      </c>
      <c r="J77" s="41">
        <f t="shared" si="5"/>
        <v>400000</v>
      </c>
      <c r="K77" s="41">
        <f t="shared" si="5"/>
        <v>400000</v>
      </c>
      <c r="L77" s="41">
        <f t="shared" si="5"/>
        <v>400000</v>
      </c>
      <c r="M77" s="45"/>
      <c r="N77" s="12"/>
      <c r="O77" s="12"/>
      <c r="P77" s="12"/>
      <c r="Q77" s="12"/>
      <c r="R77" s="12"/>
      <c r="S77" s="12"/>
      <c r="T77" s="12"/>
    </row>
    <row r="78" spans="1:20" ht="15.75" thickBot="1" x14ac:dyDescent="0.3">
      <c r="A78" s="308"/>
      <c r="B78" s="24" t="s">
        <v>47</v>
      </c>
      <c r="C78" s="41">
        <f>C77*$C41</f>
        <v>26400</v>
      </c>
      <c r="D78" s="41">
        <f t="shared" ref="D78:L78" si="6">D77*$C41</f>
        <v>35200</v>
      </c>
      <c r="E78" s="41">
        <f t="shared" si="6"/>
        <v>44000</v>
      </c>
      <c r="F78" s="41">
        <f t="shared" si="6"/>
        <v>44000</v>
      </c>
      <c r="G78" s="41">
        <f t="shared" si="6"/>
        <v>44000</v>
      </c>
      <c r="H78" s="41">
        <f t="shared" si="6"/>
        <v>44000</v>
      </c>
      <c r="I78" s="41">
        <f t="shared" si="6"/>
        <v>44000</v>
      </c>
      <c r="J78" s="41">
        <f t="shared" si="6"/>
        <v>44000</v>
      </c>
      <c r="K78" s="41">
        <f t="shared" si="6"/>
        <v>44000</v>
      </c>
      <c r="L78" s="41">
        <f t="shared" si="6"/>
        <v>44000</v>
      </c>
      <c r="M78" s="45"/>
      <c r="N78" s="12"/>
      <c r="O78" s="12"/>
      <c r="P78" s="12"/>
      <c r="Q78" s="12"/>
      <c r="R78" s="12"/>
      <c r="S78" s="12"/>
      <c r="T78" s="12"/>
    </row>
    <row r="79" spans="1:20" x14ac:dyDescent="0.25">
      <c r="A79" s="308"/>
      <c r="B79" s="24" t="s">
        <v>48</v>
      </c>
      <c r="C79" s="41">
        <f>(C83+C84)*$C41*40%</f>
        <v>4620</v>
      </c>
      <c r="D79" s="41">
        <f t="shared" ref="D79:L79" si="7">(D83+D84)*$C41*40%</f>
        <v>5720</v>
      </c>
      <c r="E79" s="41">
        <f t="shared" si="7"/>
        <v>6820</v>
      </c>
      <c r="F79" s="41">
        <f t="shared" si="7"/>
        <v>6820</v>
      </c>
      <c r="G79" s="41">
        <f t="shared" si="7"/>
        <v>6820</v>
      </c>
      <c r="H79" s="41">
        <f t="shared" si="7"/>
        <v>6820</v>
      </c>
      <c r="I79" s="41">
        <f t="shared" si="7"/>
        <v>6820</v>
      </c>
      <c r="J79" s="41">
        <f t="shared" si="7"/>
        <v>6820</v>
      </c>
      <c r="K79" s="41">
        <f t="shared" si="7"/>
        <v>6820</v>
      </c>
      <c r="L79" s="41">
        <f t="shared" si="7"/>
        <v>6820</v>
      </c>
      <c r="M79" s="45"/>
      <c r="N79" s="274" t="s">
        <v>155</v>
      </c>
      <c r="O79" s="275"/>
      <c r="P79" s="275"/>
      <c r="Q79" s="275"/>
      <c r="R79" s="276"/>
      <c r="S79" s="12"/>
      <c r="T79" s="12"/>
    </row>
    <row r="80" spans="1:20" x14ac:dyDescent="0.25">
      <c r="A80" s="308"/>
      <c r="B80" s="24" t="s">
        <v>49</v>
      </c>
      <c r="C80" s="41">
        <f>$C42*C77</f>
        <v>4800</v>
      </c>
      <c r="D80" s="41">
        <f t="shared" ref="D80:L80" si="8">$C42*D77</f>
        <v>6400</v>
      </c>
      <c r="E80" s="41">
        <f t="shared" si="8"/>
        <v>8000</v>
      </c>
      <c r="F80" s="41">
        <f t="shared" si="8"/>
        <v>8000</v>
      </c>
      <c r="G80" s="41">
        <f t="shared" si="8"/>
        <v>8000</v>
      </c>
      <c r="H80" s="41">
        <f t="shared" si="8"/>
        <v>8000</v>
      </c>
      <c r="I80" s="41">
        <f t="shared" si="8"/>
        <v>8000</v>
      </c>
      <c r="J80" s="41">
        <f t="shared" si="8"/>
        <v>8000</v>
      </c>
      <c r="K80" s="41">
        <f t="shared" si="8"/>
        <v>8000</v>
      </c>
      <c r="L80" s="41">
        <f t="shared" si="8"/>
        <v>8000</v>
      </c>
      <c r="M80" s="45"/>
      <c r="N80" s="277"/>
      <c r="O80" s="278"/>
      <c r="P80" s="278"/>
      <c r="Q80" s="278"/>
      <c r="R80" s="279"/>
      <c r="S80" s="12"/>
      <c r="T80" s="12"/>
    </row>
    <row r="81" spans="1:20" x14ac:dyDescent="0.25">
      <c r="A81" s="308"/>
      <c r="B81" s="55" t="s">
        <v>50</v>
      </c>
      <c r="C81" s="233">
        <f t="shared" ref="C81:L81" si="9">C77 -(C78 - C79 +C80)</f>
        <v>213420</v>
      </c>
      <c r="D81" s="233">
        <f t="shared" si="9"/>
        <v>284120</v>
      </c>
      <c r="E81" s="233">
        <f t="shared" si="9"/>
        <v>354820</v>
      </c>
      <c r="F81" s="233">
        <f t="shared" si="9"/>
        <v>354820</v>
      </c>
      <c r="G81" s="233">
        <f t="shared" si="9"/>
        <v>354820</v>
      </c>
      <c r="H81" s="233">
        <f t="shared" si="9"/>
        <v>354820</v>
      </c>
      <c r="I81" s="233">
        <f t="shared" si="9"/>
        <v>354820</v>
      </c>
      <c r="J81" s="233">
        <f t="shared" si="9"/>
        <v>354820</v>
      </c>
      <c r="K81" s="233">
        <f t="shared" si="9"/>
        <v>354820</v>
      </c>
      <c r="L81" s="233">
        <f t="shared" si="9"/>
        <v>354820</v>
      </c>
      <c r="M81" s="57"/>
      <c r="N81" s="277"/>
      <c r="O81" s="278"/>
      <c r="P81" s="278"/>
      <c r="Q81" s="278"/>
      <c r="R81" s="279"/>
      <c r="S81" s="12"/>
      <c r="T81" s="12"/>
    </row>
    <row r="82" spans="1:20" ht="15.75" thickBot="1" x14ac:dyDescent="0.3">
      <c r="A82" s="308"/>
      <c r="B82" s="55" t="s">
        <v>51</v>
      </c>
      <c r="C82" s="237">
        <v>100000</v>
      </c>
      <c r="D82" s="237">
        <v>120000</v>
      </c>
      <c r="E82" s="237">
        <v>140000</v>
      </c>
      <c r="F82" s="237">
        <v>140000</v>
      </c>
      <c r="G82" s="237">
        <v>140000</v>
      </c>
      <c r="H82" s="237">
        <v>140000</v>
      </c>
      <c r="I82" s="237">
        <v>140000</v>
      </c>
      <c r="J82" s="237">
        <v>140000</v>
      </c>
      <c r="K82" s="237">
        <v>140000</v>
      </c>
      <c r="L82" s="238">
        <v>140000</v>
      </c>
      <c r="M82" s="57"/>
      <c r="N82" s="280"/>
      <c r="O82" s="281"/>
      <c r="P82" s="281"/>
      <c r="Q82" s="281"/>
      <c r="R82" s="282"/>
      <c r="S82" s="12"/>
      <c r="T82" s="12"/>
    </row>
    <row r="83" spans="1:20" x14ac:dyDescent="0.25">
      <c r="A83" s="308"/>
      <c r="B83" s="24" t="s">
        <v>52</v>
      </c>
      <c r="C83" s="41">
        <f t="shared" ref="C83:L83" si="10">C51</f>
        <v>75000</v>
      </c>
      <c r="D83" s="41">
        <f t="shared" si="10"/>
        <v>100000</v>
      </c>
      <c r="E83" s="41">
        <f t="shared" si="10"/>
        <v>125000</v>
      </c>
      <c r="F83" s="41">
        <f t="shared" si="10"/>
        <v>125000</v>
      </c>
      <c r="G83" s="41">
        <f t="shared" si="10"/>
        <v>125000</v>
      </c>
      <c r="H83" s="41">
        <f t="shared" si="10"/>
        <v>125000</v>
      </c>
      <c r="I83" s="41">
        <f t="shared" si="10"/>
        <v>125000</v>
      </c>
      <c r="J83" s="41">
        <f t="shared" si="10"/>
        <v>125000</v>
      </c>
      <c r="K83" s="41">
        <f t="shared" si="10"/>
        <v>125000</v>
      </c>
      <c r="L83" s="41">
        <f t="shared" si="10"/>
        <v>125000</v>
      </c>
      <c r="M83" s="45"/>
      <c r="N83" s="12"/>
      <c r="O83" s="12"/>
      <c r="P83" s="12"/>
      <c r="Q83" s="12"/>
      <c r="R83" s="12"/>
      <c r="S83" s="12"/>
      <c r="T83" s="12"/>
    </row>
    <row r="84" spans="1:20" x14ac:dyDescent="0.25">
      <c r="A84" s="308"/>
      <c r="B84" s="24" t="s">
        <v>53</v>
      </c>
      <c r="C84" s="41">
        <f t="shared" ref="C84:L84" si="11">C52</f>
        <v>30000</v>
      </c>
      <c r="D84" s="41">
        <f t="shared" si="11"/>
        <v>30000</v>
      </c>
      <c r="E84" s="41">
        <f t="shared" si="11"/>
        <v>30000</v>
      </c>
      <c r="F84" s="41">
        <f t="shared" si="11"/>
        <v>30000</v>
      </c>
      <c r="G84" s="41">
        <f t="shared" si="11"/>
        <v>30000</v>
      </c>
      <c r="H84" s="41">
        <f t="shared" si="11"/>
        <v>30000</v>
      </c>
      <c r="I84" s="41">
        <f t="shared" si="11"/>
        <v>30000</v>
      </c>
      <c r="J84" s="41">
        <f t="shared" si="11"/>
        <v>30000</v>
      </c>
      <c r="K84" s="41">
        <f t="shared" si="11"/>
        <v>30000</v>
      </c>
      <c r="L84" s="41">
        <f t="shared" si="11"/>
        <v>30000</v>
      </c>
      <c r="M84" s="45"/>
      <c r="N84" s="12"/>
      <c r="O84" s="12"/>
      <c r="P84" s="12"/>
      <c r="Q84" s="12"/>
      <c r="R84" s="12"/>
      <c r="S84" s="12"/>
      <c r="T84" s="12"/>
    </row>
    <row r="85" spans="1:20" x14ac:dyDescent="0.25">
      <c r="A85" s="308"/>
      <c r="B85" s="55" t="s">
        <v>54</v>
      </c>
      <c r="C85" s="56">
        <f t="shared" ref="C85:L85" si="12">SUM(C86:C86)</f>
        <v>33600</v>
      </c>
      <c r="D85" s="56">
        <f t="shared" si="12"/>
        <v>33600</v>
      </c>
      <c r="E85" s="56">
        <f t="shared" si="12"/>
        <v>33600</v>
      </c>
      <c r="F85" s="56">
        <f t="shared" si="12"/>
        <v>33600</v>
      </c>
      <c r="G85" s="56">
        <f t="shared" si="12"/>
        <v>33600</v>
      </c>
      <c r="H85" s="56">
        <f t="shared" si="12"/>
        <v>33600</v>
      </c>
      <c r="I85" s="56">
        <f t="shared" si="12"/>
        <v>33600</v>
      </c>
      <c r="J85" s="56">
        <f t="shared" si="12"/>
        <v>33600</v>
      </c>
      <c r="K85" s="56">
        <f t="shared" si="12"/>
        <v>33600</v>
      </c>
      <c r="L85" s="56">
        <f t="shared" si="12"/>
        <v>33600</v>
      </c>
      <c r="M85" s="57"/>
      <c r="N85" s="12"/>
      <c r="O85" s="12"/>
      <c r="P85" s="12"/>
      <c r="Q85" s="12"/>
      <c r="R85" s="12"/>
      <c r="S85" s="12"/>
      <c r="T85" s="12"/>
    </row>
    <row r="86" spans="1:20" x14ac:dyDescent="0.25">
      <c r="A86" s="308"/>
      <c r="B86" s="24" t="s">
        <v>55</v>
      </c>
      <c r="C86" s="41">
        <f>$E67</f>
        <v>33600</v>
      </c>
      <c r="D86" s="41">
        <f t="shared" ref="D86:L86" si="13">$E67</f>
        <v>33600</v>
      </c>
      <c r="E86" s="41">
        <f t="shared" si="13"/>
        <v>33600</v>
      </c>
      <c r="F86" s="41">
        <f t="shared" si="13"/>
        <v>33600</v>
      </c>
      <c r="G86" s="41">
        <f t="shared" si="13"/>
        <v>33600</v>
      </c>
      <c r="H86" s="41">
        <f t="shared" si="13"/>
        <v>33600</v>
      </c>
      <c r="I86" s="41">
        <f t="shared" si="13"/>
        <v>33600</v>
      </c>
      <c r="J86" s="41">
        <f t="shared" si="13"/>
        <v>33600</v>
      </c>
      <c r="K86" s="41">
        <f t="shared" si="13"/>
        <v>33600</v>
      </c>
      <c r="L86" s="41">
        <f t="shared" si="13"/>
        <v>33600</v>
      </c>
      <c r="M86" s="45"/>
      <c r="N86" s="12"/>
      <c r="O86" s="12"/>
      <c r="P86" s="12"/>
      <c r="Q86" s="12"/>
      <c r="R86" s="12"/>
      <c r="S86" s="12"/>
      <c r="T86" s="12"/>
    </row>
    <row r="87" spans="1:20" ht="15.75" thickBot="1" x14ac:dyDescent="0.3">
      <c r="A87" s="308"/>
      <c r="B87" s="182" t="s">
        <v>56</v>
      </c>
      <c r="C87" s="185">
        <f>C81-(C82+C85)</f>
        <v>79820</v>
      </c>
      <c r="D87" s="185">
        <f t="shared" ref="D87:L87" si="14">D81-(D82+D85)</f>
        <v>130520</v>
      </c>
      <c r="E87" s="185">
        <f t="shared" si="14"/>
        <v>181220</v>
      </c>
      <c r="F87" s="185">
        <f t="shared" si="14"/>
        <v>181220</v>
      </c>
      <c r="G87" s="185">
        <f t="shared" si="14"/>
        <v>181220</v>
      </c>
      <c r="H87" s="185">
        <f t="shared" si="14"/>
        <v>181220</v>
      </c>
      <c r="I87" s="185">
        <f t="shared" si="14"/>
        <v>181220</v>
      </c>
      <c r="J87" s="185">
        <f t="shared" si="14"/>
        <v>181220</v>
      </c>
      <c r="K87" s="185">
        <f t="shared" si="14"/>
        <v>181220</v>
      </c>
      <c r="L87" s="185">
        <f t="shared" si="14"/>
        <v>181220</v>
      </c>
      <c r="M87" s="45"/>
      <c r="N87" s="12"/>
      <c r="O87" s="12"/>
      <c r="P87" s="12"/>
      <c r="Q87" s="12"/>
      <c r="R87" s="12"/>
      <c r="S87" s="12"/>
      <c r="T87" s="12"/>
    </row>
    <row r="88" spans="1:20" ht="15.75" thickBot="1" x14ac:dyDescent="0.3">
      <c r="A88" s="309"/>
      <c r="B88" s="218" t="s">
        <v>144</v>
      </c>
      <c r="C88" s="241">
        <f>$C43*C87</f>
        <v>17560.400000000001</v>
      </c>
      <c r="D88" s="241">
        <f t="shared" ref="D88:L88" si="15">$C43*D87</f>
        <v>28714.400000000001</v>
      </c>
      <c r="E88" s="241">
        <f t="shared" si="15"/>
        <v>39868.400000000001</v>
      </c>
      <c r="F88" s="241">
        <f t="shared" si="15"/>
        <v>39868.400000000001</v>
      </c>
      <c r="G88" s="241">
        <f t="shared" si="15"/>
        <v>39868.400000000001</v>
      </c>
      <c r="H88" s="241">
        <f t="shared" si="15"/>
        <v>39868.400000000001</v>
      </c>
      <c r="I88" s="241">
        <f t="shared" si="15"/>
        <v>39868.400000000001</v>
      </c>
      <c r="J88" s="241">
        <f t="shared" si="15"/>
        <v>39868.400000000001</v>
      </c>
      <c r="K88" s="241">
        <f t="shared" si="15"/>
        <v>39868.400000000001</v>
      </c>
      <c r="L88" s="242">
        <f t="shared" si="15"/>
        <v>39868.400000000001</v>
      </c>
      <c r="M88" s="57"/>
      <c r="N88" s="12"/>
      <c r="O88" s="12"/>
      <c r="P88" s="12"/>
      <c r="Q88" s="12"/>
      <c r="R88" s="12"/>
      <c r="S88" s="12"/>
      <c r="T88" s="12"/>
    </row>
    <row r="89" spans="1:20" x14ac:dyDescent="0.25">
      <c r="A89" s="12"/>
      <c r="B89" s="12"/>
      <c r="C89" s="11"/>
      <c r="D89" s="11"/>
      <c r="E89" s="11"/>
      <c r="F89" s="11"/>
      <c r="G89" s="11"/>
      <c r="H89" s="11"/>
      <c r="I89" s="11"/>
      <c r="J89" s="11"/>
      <c r="K89" s="11"/>
      <c r="L89" s="11"/>
      <c r="M89" s="11"/>
      <c r="N89" s="12"/>
      <c r="O89" s="12"/>
      <c r="P89" s="12"/>
      <c r="Q89" s="12"/>
      <c r="R89" s="12"/>
      <c r="S89" s="12"/>
      <c r="T89" s="12"/>
    </row>
    <row r="90" spans="1:20" ht="21" thickBot="1" x14ac:dyDescent="0.3">
      <c r="A90" s="61"/>
      <c r="B90" s="203" t="s">
        <v>59</v>
      </c>
      <c r="O90" s="12"/>
      <c r="P90" s="12"/>
      <c r="Q90" s="12"/>
      <c r="R90" s="12"/>
      <c r="S90" s="12"/>
      <c r="T90" s="12"/>
    </row>
    <row r="91" spans="1:20" x14ac:dyDescent="0.25">
      <c r="A91" s="310"/>
      <c r="B91" s="63" t="s">
        <v>20</v>
      </c>
      <c r="C91" s="134">
        <v>0</v>
      </c>
      <c r="D91" s="134">
        <v>1</v>
      </c>
      <c r="E91" s="134">
        <v>2</v>
      </c>
      <c r="F91" s="134">
        <v>3</v>
      </c>
      <c r="G91" s="134">
        <v>4</v>
      </c>
      <c r="H91" s="134">
        <v>5</v>
      </c>
      <c r="I91" s="134">
        <v>6</v>
      </c>
      <c r="J91" s="134">
        <v>7</v>
      </c>
      <c r="K91" s="134">
        <v>8</v>
      </c>
      <c r="L91" s="134">
        <v>9</v>
      </c>
      <c r="M91" s="135">
        <v>10</v>
      </c>
      <c r="N91" s="66"/>
      <c r="O91" s="12"/>
      <c r="P91" s="12"/>
      <c r="Q91" s="12"/>
      <c r="R91" s="12"/>
      <c r="S91" s="12"/>
      <c r="T91" s="12"/>
    </row>
    <row r="92" spans="1:20" ht="15.75" x14ac:dyDescent="0.25">
      <c r="A92" s="310"/>
      <c r="B92" s="67" t="s">
        <v>60</v>
      </c>
      <c r="C92" s="230">
        <f>-C32</f>
        <v>-470000</v>
      </c>
      <c r="D92" s="68"/>
      <c r="E92" s="69"/>
      <c r="F92" s="69"/>
      <c r="G92" s="70"/>
      <c r="H92" s="69"/>
      <c r="I92" s="68"/>
      <c r="J92" s="69"/>
      <c r="K92" s="69"/>
      <c r="L92" s="69"/>
      <c r="M92" s="208"/>
      <c r="N92" s="71"/>
      <c r="O92" s="12"/>
      <c r="P92" s="12"/>
      <c r="Q92" s="12"/>
      <c r="R92" s="12"/>
      <c r="S92" s="12"/>
      <c r="T92" s="12"/>
    </row>
    <row r="93" spans="1:20" ht="15.75" x14ac:dyDescent="0.25">
      <c r="A93" s="310"/>
      <c r="B93" s="67" t="s">
        <v>156</v>
      </c>
      <c r="C93" s="68"/>
      <c r="D93" s="232">
        <f>-F73</f>
        <v>-28500</v>
      </c>
      <c r="E93" s="69"/>
      <c r="F93" s="69"/>
      <c r="G93" s="70"/>
      <c r="H93" s="69"/>
      <c r="I93" s="68"/>
      <c r="J93" s="69"/>
      <c r="K93" s="69"/>
      <c r="L93" s="69"/>
      <c r="M93" s="240">
        <v>28500</v>
      </c>
      <c r="N93" s="209"/>
      <c r="O93" s="12"/>
      <c r="P93" s="12"/>
      <c r="Q93" s="12"/>
      <c r="R93" s="12"/>
      <c r="S93" s="12"/>
      <c r="T93" s="12"/>
    </row>
    <row r="94" spans="1:20" x14ac:dyDescent="0.25">
      <c r="A94" s="310"/>
      <c r="B94" s="67" t="s">
        <v>61</v>
      </c>
      <c r="C94" s="69"/>
      <c r="D94" s="234">
        <f t="shared" ref="D94:M94" si="16">C81</f>
        <v>213420</v>
      </c>
      <c r="E94" s="234">
        <f t="shared" si="16"/>
        <v>284120</v>
      </c>
      <c r="F94" s="234">
        <f t="shared" si="16"/>
        <v>354820</v>
      </c>
      <c r="G94" s="234">
        <f t="shared" si="16"/>
        <v>354820</v>
      </c>
      <c r="H94" s="234">
        <f t="shared" si="16"/>
        <v>354820</v>
      </c>
      <c r="I94" s="234">
        <f t="shared" si="16"/>
        <v>354820</v>
      </c>
      <c r="J94" s="234">
        <f t="shared" si="16"/>
        <v>354820</v>
      </c>
      <c r="K94" s="234">
        <f t="shared" si="16"/>
        <v>354820</v>
      </c>
      <c r="L94" s="234">
        <f t="shared" si="16"/>
        <v>354820</v>
      </c>
      <c r="M94" s="235">
        <f t="shared" si="16"/>
        <v>354820</v>
      </c>
      <c r="N94" s="72"/>
      <c r="O94" s="12"/>
      <c r="P94" s="12"/>
      <c r="Q94" s="12"/>
      <c r="R94" s="12"/>
      <c r="S94" s="12"/>
      <c r="T94" s="12"/>
    </row>
    <row r="95" spans="1:20" x14ac:dyDescent="0.25">
      <c r="A95" s="310"/>
      <c r="B95" s="67" t="s">
        <v>62</v>
      </c>
      <c r="C95" s="69"/>
      <c r="D95" s="239">
        <f t="shared" ref="D95:M95" si="17">-C82</f>
        <v>-100000</v>
      </c>
      <c r="E95" s="239">
        <f t="shared" si="17"/>
        <v>-120000</v>
      </c>
      <c r="F95" s="239">
        <f t="shared" si="17"/>
        <v>-140000</v>
      </c>
      <c r="G95" s="239">
        <f t="shared" si="17"/>
        <v>-140000</v>
      </c>
      <c r="H95" s="239">
        <f t="shared" si="17"/>
        <v>-140000</v>
      </c>
      <c r="I95" s="239">
        <f t="shared" si="17"/>
        <v>-140000</v>
      </c>
      <c r="J95" s="239">
        <f t="shared" si="17"/>
        <v>-140000</v>
      </c>
      <c r="K95" s="239">
        <f t="shared" si="17"/>
        <v>-140000</v>
      </c>
      <c r="L95" s="239">
        <f t="shared" si="17"/>
        <v>-140000</v>
      </c>
      <c r="M95" s="239">
        <f t="shared" si="17"/>
        <v>-140000</v>
      </c>
      <c r="N95" s="72"/>
      <c r="O95" s="12"/>
      <c r="P95" s="12"/>
      <c r="Q95" s="12"/>
      <c r="R95" s="12"/>
      <c r="S95" s="12"/>
      <c r="T95" s="12"/>
    </row>
    <row r="96" spans="1:20" x14ac:dyDescent="0.25">
      <c r="A96" s="310"/>
      <c r="B96" s="67" t="s">
        <v>145</v>
      </c>
      <c r="C96" s="69"/>
      <c r="D96" s="243">
        <f t="shared" ref="D96:M96" si="18">-C88</f>
        <v>-17560.400000000001</v>
      </c>
      <c r="E96" s="243">
        <f t="shared" si="18"/>
        <v>-28714.400000000001</v>
      </c>
      <c r="F96" s="243">
        <f t="shared" si="18"/>
        <v>-39868.400000000001</v>
      </c>
      <c r="G96" s="243">
        <f t="shared" si="18"/>
        <v>-39868.400000000001</v>
      </c>
      <c r="H96" s="243">
        <f t="shared" si="18"/>
        <v>-39868.400000000001</v>
      </c>
      <c r="I96" s="243">
        <f t="shared" si="18"/>
        <v>-39868.400000000001</v>
      </c>
      <c r="J96" s="243">
        <f t="shared" si="18"/>
        <v>-39868.400000000001</v>
      </c>
      <c r="K96" s="243">
        <f t="shared" si="18"/>
        <v>-39868.400000000001</v>
      </c>
      <c r="L96" s="243">
        <f t="shared" si="18"/>
        <v>-39868.400000000001</v>
      </c>
      <c r="M96" s="243">
        <f t="shared" si="18"/>
        <v>-39868.400000000001</v>
      </c>
      <c r="N96" s="72"/>
      <c r="O96" s="12"/>
      <c r="P96" s="12"/>
      <c r="Q96" s="12"/>
      <c r="R96" s="12"/>
      <c r="S96" s="12"/>
      <c r="T96" s="12"/>
    </row>
    <row r="97" spans="1:20" ht="16.5" thickBot="1" x14ac:dyDescent="0.3">
      <c r="A97" s="310"/>
      <c r="B97" s="105" t="s">
        <v>64</v>
      </c>
      <c r="C97" s="180"/>
      <c r="D97" s="180"/>
      <c r="E97" s="180"/>
      <c r="F97" s="180"/>
      <c r="G97" s="181"/>
      <c r="H97" s="176"/>
      <c r="I97" s="180"/>
      <c r="J97" s="180"/>
      <c r="K97" s="180"/>
      <c r="L97" s="180"/>
      <c r="M97" s="245">
        <f>+G63</f>
        <v>84000</v>
      </c>
      <c r="N97" s="177"/>
      <c r="O97" s="12"/>
      <c r="P97" s="12"/>
      <c r="Q97" s="12"/>
      <c r="R97" s="12"/>
      <c r="S97" s="12"/>
      <c r="T97" s="12"/>
    </row>
    <row r="98" spans="1:20" ht="15.75" thickBot="1" x14ac:dyDescent="0.3">
      <c r="A98" s="311"/>
      <c r="B98" s="216" t="s">
        <v>65</v>
      </c>
      <c r="C98" s="253">
        <f>SUM(C92:C97)</f>
        <v>-470000</v>
      </c>
      <c r="D98" s="253">
        <f>SUM(D92:D97)</f>
        <v>67359.600000000006</v>
      </c>
      <c r="E98" s="253">
        <f t="shared" ref="E98:M98" si="19">SUM(E92:E97)</f>
        <v>135405.6</v>
      </c>
      <c r="F98" s="253">
        <f t="shared" si="19"/>
        <v>174951.6</v>
      </c>
      <c r="G98" s="253">
        <f t="shared" si="19"/>
        <v>174951.6</v>
      </c>
      <c r="H98" s="253">
        <f t="shared" si="19"/>
        <v>174951.6</v>
      </c>
      <c r="I98" s="253">
        <f t="shared" si="19"/>
        <v>174951.6</v>
      </c>
      <c r="J98" s="253">
        <f t="shared" si="19"/>
        <v>174951.6</v>
      </c>
      <c r="K98" s="253">
        <f t="shared" si="19"/>
        <v>174951.6</v>
      </c>
      <c r="L98" s="253">
        <f t="shared" si="19"/>
        <v>174951.6</v>
      </c>
      <c r="M98" s="253">
        <f t="shared" si="19"/>
        <v>287451.59999999998</v>
      </c>
      <c r="N98" s="219"/>
      <c r="O98" s="312"/>
      <c r="P98" s="313"/>
      <c r="Q98" s="313"/>
      <c r="R98" s="313"/>
      <c r="S98" s="12"/>
      <c r="T98" s="12"/>
    </row>
    <row r="99" spans="1:20" ht="34.5" thickBot="1" x14ac:dyDescent="0.3">
      <c r="A99" s="76"/>
      <c r="B99" s="77"/>
      <c r="C99" s="59"/>
      <c r="D99" s="59"/>
      <c r="E99" s="59"/>
      <c r="F99" s="59"/>
      <c r="G99" s="59"/>
      <c r="H99" s="59"/>
      <c r="I99" s="59"/>
      <c r="J99" s="59"/>
      <c r="K99" s="59"/>
      <c r="L99" s="59"/>
      <c r="M99" s="59"/>
      <c r="N99" s="59"/>
      <c r="O99" s="78"/>
      <c r="P99" s="79"/>
      <c r="Q99" s="79"/>
      <c r="R99" s="79"/>
      <c r="S99" s="12"/>
      <c r="T99" s="12"/>
    </row>
    <row r="100" spans="1:20" ht="21" customHeight="1" thickBot="1" x14ac:dyDescent="0.35">
      <c r="A100" s="1"/>
      <c r="B100" s="202" t="s">
        <v>92</v>
      </c>
      <c r="C100" s="11"/>
      <c r="D100" s="11"/>
      <c r="E100" s="11"/>
      <c r="F100" s="11"/>
      <c r="G100" s="46"/>
      <c r="H100" s="109"/>
      <c r="I100" s="46"/>
      <c r="J100" s="11"/>
      <c r="K100" s="283" t="s">
        <v>157</v>
      </c>
      <c r="L100" s="284"/>
      <c r="M100" s="285"/>
      <c r="N100" s="12"/>
      <c r="O100" s="12"/>
      <c r="P100" s="12"/>
      <c r="Q100" s="12"/>
      <c r="R100" s="12"/>
      <c r="S100" s="12"/>
      <c r="T100" s="12"/>
    </row>
    <row r="101" spans="1:20" x14ac:dyDescent="0.25">
      <c r="A101" s="12"/>
      <c r="B101" s="142" t="s">
        <v>165</v>
      </c>
      <c r="C101" s="259">
        <f>NPV(C102, D98:M98)+C98</f>
        <v>218161.35788657889</v>
      </c>
      <c r="D101" s="11"/>
      <c r="E101" s="11"/>
      <c r="F101" s="11"/>
      <c r="G101" s="46"/>
      <c r="H101" s="46"/>
      <c r="I101" s="46"/>
      <c r="J101" s="11"/>
      <c r="K101" s="286"/>
      <c r="L101" s="287"/>
      <c r="M101" s="288"/>
      <c r="N101" s="12"/>
      <c r="O101" s="12"/>
      <c r="P101" s="12"/>
      <c r="Q101" s="12"/>
      <c r="R101" s="12"/>
      <c r="S101" s="12"/>
      <c r="T101" s="12"/>
    </row>
    <row r="102" spans="1:20" ht="15.75" thickBot="1" x14ac:dyDescent="0.3">
      <c r="A102" s="12"/>
      <c r="B102" s="138" t="s">
        <v>88</v>
      </c>
      <c r="C102" s="140">
        <v>0.18</v>
      </c>
      <c r="D102" s="11"/>
      <c r="E102" s="11"/>
      <c r="F102" s="11"/>
      <c r="G102" s="46"/>
      <c r="H102" s="46"/>
      <c r="I102" s="46"/>
      <c r="J102" s="11"/>
      <c r="K102" s="286"/>
      <c r="L102" s="287"/>
      <c r="M102" s="288"/>
      <c r="N102" s="12"/>
      <c r="O102" s="12"/>
      <c r="P102" s="12"/>
      <c r="Q102" s="12"/>
      <c r="R102" s="12"/>
      <c r="S102" s="12"/>
      <c r="T102" s="12"/>
    </row>
    <row r="103" spans="1:20" ht="15.75" thickBot="1" x14ac:dyDescent="0.3">
      <c r="A103" s="12"/>
      <c r="B103" s="138" t="s">
        <v>67</v>
      </c>
      <c r="C103" s="260">
        <f>IRR(C98:N98, 17%)</f>
        <v>0.28203469802834813</v>
      </c>
      <c r="D103" s="11"/>
      <c r="E103" s="292" t="s">
        <v>164</v>
      </c>
      <c r="F103" s="293"/>
      <c r="G103" s="293"/>
      <c r="H103" s="294"/>
      <c r="I103" s="46"/>
      <c r="J103" s="11"/>
      <c r="K103" s="289"/>
      <c r="L103" s="290"/>
      <c r="M103" s="291"/>
      <c r="N103" s="12"/>
      <c r="O103" s="12"/>
      <c r="P103" s="12"/>
      <c r="Q103" s="12"/>
      <c r="R103" s="12"/>
      <c r="S103" s="12"/>
      <c r="T103" s="12"/>
    </row>
    <row r="104" spans="1:20" x14ac:dyDescent="0.25">
      <c r="A104" s="12"/>
      <c r="B104" s="143" t="s">
        <v>60</v>
      </c>
      <c r="C104" s="141">
        <f>+-C92</f>
        <v>470000</v>
      </c>
      <c r="D104" s="11"/>
      <c r="E104" s="295"/>
      <c r="F104" s="296"/>
      <c r="G104" s="296"/>
      <c r="H104" s="297"/>
      <c r="I104" s="46"/>
      <c r="J104" s="11"/>
      <c r="K104" s="11"/>
      <c r="L104" s="11"/>
      <c r="M104" s="11"/>
      <c r="N104" s="12"/>
      <c r="O104" s="12"/>
      <c r="P104" s="12"/>
      <c r="Q104" s="12"/>
      <c r="R104" s="12"/>
      <c r="S104" s="12"/>
      <c r="T104" s="12"/>
    </row>
    <row r="105" spans="1:20" x14ac:dyDescent="0.25">
      <c r="A105" s="12"/>
      <c r="B105" s="138"/>
      <c r="C105" s="137"/>
      <c r="D105" s="80"/>
      <c r="E105" s="295"/>
      <c r="F105" s="296"/>
      <c r="G105" s="296"/>
      <c r="H105" s="297"/>
      <c r="I105" s="46"/>
      <c r="J105" s="11"/>
      <c r="K105" s="11"/>
      <c r="L105" s="11"/>
      <c r="M105" s="11"/>
      <c r="N105" s="12"/>
      <c r="O105" s="12"/>
      <c r="P105" s="12"/>
      <c r="Q105" s="12"/>
      <c r="R105" s="12"/>
      <c r="S105" s="12"/>
      <c r="T105" s="12"/>
    </row>
    <row r="106" spans="1:20" ht="15.75" thickBot="1" x14ac:dyDescent="0.3">
      <c r="A106" s="12"/>
      <c r="B106" s="138" t="s">
        <v>102</v>
      </c>
      <c r="C106" s="261">
        <f>+C101/C104</f>
        <v>0.46417310188633804</v>
      </c>
      <c r="D106" s="81"/>
      <c r="E106" s="298"/>
      <c r="F106" s="299"/>
      <c r="G106" s="299"/>
      <c r="H106" s="300"/>
      <c r="I106" s="110"/>
      <c r="J106" s="11"/>
      <c r="K106" s="11"/>
      <c r="L106" s="11"/>
      <c r="M106" s="11"/>
      <c r="N106" s="12"/>
      <c r="O106" s="12"/>
      <c r="P106" s="12"/>
      <c r="Q106" s="12"/>
      <c r="R106" s="12"/>
      <c r="S106" s="12"/>
      <c r="T106" s="12"/>
    </row>
    <row r="107" spans="1:20" x14ac:dyDescent="0.25">
      <c r="A107" s="12"/>
      <c r="B107" s="138" t="s">
        <v>89</v>
      </c>
      <c r="C107" s="137">
        <f>NPV(C102,D98:M98)</f>
        <v>688161.35788657889</v>
      </c>
      <c r="D107" s="81"/>
      <c r="E107" s="81"/>
      <c r="F107" s="81"/>
      <c r="G107" s="81"/>
      <c r="H107" s="46"/>
      <c r="I107" s="110"/>
      <c r="J107" s="11"/>
      <c r="K107" s="11"/>
      <c r="L107" s="11"/>
      <c r="M107" s="11"/>
      <c r="N107" s="12"/>
      <c r="O107" s="12"/>
      <c r="P107" s="12"/>
      <c r="Q107" s="12"/>
      <c r="R107" s="12"/>
      <c r="S107" s="12"/>
      <c r="T107" s="12"/>
    </row>
    <row r="108" spans="1:20" x14ac:dyDescent="0.25">
      <c r="A108" s="12"/>
      <c r="B108" s="138" t="s">
        <v>90</v>
      </c>
      <c r="C108" s="137">
        <f>-+C98</f>
        <v>470000</v>
      </c>
      <c r="D108" s="81"/>
      <c r="E108" s="81"/>
      <c r="F108" s="81"/>
      <c r="G108" s="81"/>
      <c r="H108" s="46"/>
      <c r="I108" s="110"/>
      <c r="J108" s="11"/>
      <c r="K108" s="11"/>
      <c r="L108" s="11"/>
      <c r="M108" s="11"/>
      <c r="N108" s="12"/>
      <c r="O108" s="12"/>
      <c r="P108" s="12"/>
      <c r="Q108" s="12"/>
      <c r="R108" s="12"/>
      <c r="S108" s="12"/>
      <c r="T108" s="12"/>
    </row>
    <row r="109" spans="1:20" ht="15.75" thickBot="1" x14ac:dyDescent="0.3">
      <c r="A109" s="12"/>
      <c r="B109" s="139" t="s">
        <v>91</v>
      </c>
      <c r="C109" s="262">
        <f>+C107/C108</f>
        <v>1.464173101886338</v>
      </c>
      <c r="D109" s="81"/>
      <c r="E109" s="81"/>
      <c r="F109" s="81"/>
      <c r="G109" s="81"/>
      <c r="H109" s="46"/>
      <c r="I109" s="110"/>
      <c r="J109" s="11"/>
      <c r="K109" s="11"/>
      <c r="L109" s="11"/>
      <c r="M109" s="11"/>
      <c r="N109" s="12"/>
      <c r="O109" s="12"/>
      <c r="P109" s="12"/>
      <c r="Q109" s="12"/>
      <c r="R109" s="12"/>
      <c r="S109" s="12"/>
      <c r="T109" s="12"/>
    </row>
    <row r="110" spans="1:20" x14ac:dyDescent="0.25">
      <c r="A110" s="12"/>
      <c r="B110" s="136"/>
      <c r="C110" s="110"/>
      <c r="D110" s="81"/>
      <c r="E110" s="81"/>
      <c r="F110" s="81"/>
      <c r="G110" s="81"/>
      <c r="H110" s="46"/>
      <c r="I110" s="110"/>
      <c r="J110" s="11"/>
      <c r="K110" s="11"/>
      <c r="L110" s="11"/>
      <c r="M110" s="11"/>
      <c r="N110" s="12"/>
      <c r="O110" s="12"/>
      <c r="P110" s="12"/>
      <c r="Q110" s="12"/>
      <c r="R110" s="12"/>
      <c r="S110" s="12"/>
      <c r="T110" s="12"/>
    </row>
    <row r="111" spans="1:20" x14ac:dyDescent="0.25">
      <c r="A111" s="12"/>
      <c r="B111" s="12"/>
      <c r="C111" s="11"/>
      <c r="D111" s="11"/>
      <c r="E111" s="11"/>
      <c r="F111" s="11"/>
      <c r="G111" s="46"/>
      <c r="H111" s="46"/>
      <c r="I111" s="46"/>
      <c r="J111" s="11"/>
      <c r="K111" s="11"/>
      <c r="L111" s="11"/>
      <c r="M111" s="11"/>
      <c r="N111" s="12"/>
      <c r="O111" s="12"/>
      <c r="P111" s="12"/>
      <c r="Q111" s="12"/>
      <c r="R111" s="12"/>
      <c r="S111" s="12"/>
      <c r="T111" s="12"/>
    </row>
    <row r="112" spans="1:20" ht="23.25" x14ac:dyDescent="0.35">
      <c r="A112" s="12"/>
      <c r="B112" s="227" t="s">
        <v>68</v>
      </c>
      <c r="C112" s="11"/>
      <c r="D112" s="11"/>
      <c r="E112" s="11"/>
      <c r="F112" s="11"/>
      <c r="G112" s="46"/>
      <c r="H112" s="46"/>
      <c r="I112" s="46"/>
      <c r="J112" s="11"/>
      <c r="K112" s="11"/>
      <c r="L112" s="11"/>
      <c r="M112" s="11"/>
      <c r="N112" s="12"/>
      <c r="O112" s="12"/>
      <c r="P112" s="12"/>
      <c r="Q112" s="12"/>
      <c r="R112" s="12"/>
      <c r="S112" s="12"/>
      <c r="T112" s="12"/>
    </row>
    <row r="113" spans="1:20" x14ac:dyDescent="0.25">
      <c r="A113" s="12"/>
      <c r="B113" s="12"/>
      <c r="C113" s="11"/>
      <c r="D113" s="11"/>
      <c r="E113" s="11"/>
      <c r="F113" s="11"/>
      <c r="G113" s="46"/>
      <c r="H113" s="111"/>
      <c r="I113" s="46"/>
      <c r="J113" s="11"/>
      <c r="K113" s="11"/>
      <c r="L113" s="11"/>
      <c r="M113" s="11"/>
      <c r="N113" s="12"/>
      <c r="O113" s="12"/>
      <c r="P113" s="12"/>
      <c r="Q113" s="12"/>
      <c r="R113" s="12"/>
      <c r="S113" s="12"/>
      <c r="T113" s="12"/>
    </row>
    <row r="114" spans="1:20" ht="16.5" thickBot="1" x14ac:dyDescent="0.3">
      <c r="A114" s="12"/>
      <c r="B114" s="202" t="s">
        <v>69</v>
      </c>
      <c r="C114" s="11"/>
      <c r="D114" s="11"/>
      <c r="E114" s="11"/>
      <c r="F114" s="11"/>
      <c r="G114" s="11"/>
      <c r="H114" s="11"/>
      <c r="I114" s="11"/>
      <c r="J114" s="11"/>
      <c r="K114" s="11"/>
      <c r="L114" s="11"/>
      <c r="M114" s="11"/>
      <c r="N114" s="12"/>
      <c r="O114" s="12"/>
      <c r="P114" s="12"/>
      <c r="Q114" s="12"/>
      <c r="R114" s="12"/>
      <c r="S114" s="12"/>
      <c r="T114" s="12"/>
    </row>
    <row r="115" spans="1:20" ht="15.75" thickBot="1" x14ac:dyDescent="0.3">
      <c r="A115" s="12"/>
      <c r="B115" s="83" t="s">
        <v>70</v>
      </c>
      <c r="C115" s="84">
        <f>C32</f>
        <v>470000</v>
      </c>
      <c r="D115" s="11"/>
      <c r="E115" s="11"/>
      <c r="F115" s="11"/>
      <c r="G115" s="11"/>
      <c r="H115" s="11"/>
      <c r="I115" s="11"/>
      <c r="J115" s="11"/>
      <c r="K115" s="11"/>
      <c r="L115" s="11"/>
      <c r="M115" s="11"/>
      <c r="N115" s="12"/>
      <c r="O115" s="12"/>
      <c r="P115" s="12"/>
      <c r="Q115" s="12"/>
      <c r="R115" s="12"/>
      <c r="S115" s="12"/>
      <c r="T115" s="12"/>
    </row>
    <row r="116" spans="1:20" x14ac:dyDescent="0.25">
      <c r="A116" s="12"/>
      <c r="B116" s="200" t="s">
        <v>149</v>
      </c>
      <c r="C116" s="210">
        <v>0.7</v>
      </c>
      <c r="D116" s="11"/>
      <c r="E116" s="283" t="s">
        <v>158</v>
      </c>
      <c r="F116" s="284"/>
      <c r="G116" s="284"/>
      <c r="H116" s="285"/>
      <c r="I116" s="11"/>
      <c r="J116" s="11"/>
      <c r="K116" s="11"/>
      <c r="L116" s="11"/>
      <c r="M116" s="11"/>
      <c r="N116" s="12"/>
      <c r="O116" s="12"/>
      <c r="P116" s="12"/>
      <c r="Q116" s="12"/>
      <c r="R116" s="12"/>
      <c r="S116" s="12"/>
      <c r="T116" s="12"/>
    </row>
    <row r="117" spans="1:20" x14ac:dyDescent="0.25">
      <c r="A117" s="12"/>
      <c r="B117" s="85" t="s">
        <v>71</v>
      </c>
      <c r="C117" s="86">
        <f>C115*C116</f>
        <v>329000</v>
      </c>
      <c r="D117" s="11"/>
      <c r="E117" s="286"/>
      <c r="F117" s="287"/>
      <c r="G117" s="287"/>
      <c r="H117" s="288"/>
      <c r="I117" s="11"/>
      <c r="J117" s="11"/>
      <c r="K117" s="11"/>
      <c r="L117" s="11"/>
      <c r="M117" s="11"/>
      <c r="N117" s="12"/>
      <c r="O117" s="12"/>
      <c r="P117" s="12"/>
      <c r="Q117" s="12"/>
      <c r="R117" s="12"/>
      <c r="S117" s="12"/>
      <c r="T117" s="12"/>
    </row>
    <row r="118" spans="1:20" ht="15.75" thickBot="1" x14ac:dyDescent="0.3">
      <c r="A118" s="12"/>
      <c r="B118" s="85" t="s">
        <v>72</v>
      </c>
      <c r="C118" s="87">
        <v>0.11</v>
      </c>
      <c r="D118" s="11"/>
      <c r="E118" s="289"/>
      <c r="F118" s="290"/>
      <c r="G118" s="290"/>
      <c r="H118" s="291"/>
      <c r="I118" s="11"/>
      <c r="J118" s="11"/>
      <c r="K118" s="11"/>
      <c r="L118" s="11"/>
      <c r="M118" s="11"/>
      <c r="N118" s="12"/>
      <c r="O118" s="12"/>
      <c r="P118" s="12"/>
      <c r="Q118" s="12"/>
      <c r="R118" s="12"/>
      <c r="S118" s="12"/>
      <c r="T118" s="12"/>
    </row>
    <row r="119" spans="1:20" x14ac:dyDescent="0.25">
      <c r="A119" s="12"/>
      <c r="B119" s="85" t="s">
        <v>73</v>
      </c>
      <c r="C119" s="88">
        <v>10</v>
      </c>
      <c r="D119" s="11"/>
      <c r="E119" s="11"/>
      <c r="F119" s="11"/>
      <c r="G119" s="11"/>
      <c r="H119" s="11"/>
      <c r="I119" s="11"/>
      <c r="J119" s="11"/>
      <c r="K119" s="11"/>
      <c r="L119" s="11"/>
      <c r="M119" s="11"/>
      <c r="N119" s="12"/>
      <c r="O119" s="12"/>
      <c r="P119" s="12"/>
      <c r="Q119" s="12"/>
      <c r="R119" s="12"/>
      <c r="S119" s="12"/>
      <c r="T119" s="12"/>
    </row>
    <row r="120" spans="1:20" ht="15.75" thickBot="1" x14ac:dyDescent="0.3">
      <c r="A120" s="12"/>
      <c r="B120" s="89" t="s">
        <v>74</v>
      </c>
      <c r="C120" s="90">
        <f>PMT(C118,C119,C117)</f>
        <v>-55864.669515074318</v>
      </c>
      <c r="D120" s="11"/>
      <c r="E120" s="11"/>
      <c r="F120" s="11"/>
      <c r="G120" s="11"/>
      <c r="H120" s="11"/>
      <c r="I120" s="11"/>
      <c r="J120" s="11"/>
      <c r="K120" s="11"/>
      <c r="L120" s="11"/>
      <c r="M120" s="11"/>
      <c r="N120" s="12"/>
      <c r="O120" s="12"/>
      <c r="P120" s="12"/>
      <c r="Q120" s="12"/>
      <c r="R120" s="12"/>
      <c r="S120" s="12"/>
      <c r="T120" s="12"/>
    </row>
    <row r="121" spans="1:20" x14ac:dyDescent="0.25">
      <c r="A121" s="12"/>
      <c r="B121" s="12"/>
      <c r="C121" s="11"/>
      <c r="D121" s="11"/>
      <c r="E121" s="11"/>
      <c r="F121" s="11"/>
      <c r="G121" s="11"/>
      <c r="H121" s="11"/>
      <c r="I121" s="11"/>
      <c r="J121" s="11"/>
      <c r="K121" s="11"/>
      <c r="L121" s="11"/>
      <c r="M121" s="11"/>
      <c r="N121" s="12"/>
      <c r="O121" s="12"/>
      <c r="P121" s="12"/>
      <c r="Q121" s="12"/>
      <c r="R121" s="12"/>
      <c r="S121" s="12"/>
      <c r="T121" s="12"/>
    </row>
    <row r="122" spans="1:20" ht="16.5" thickBot="1" x14ac:dyDescent="0.3">
      <c r="A122" s="12"/>
      <c r="B122" s="202" t="s">
        <v>75</v>
      </c>
      <c r="C122" s="11"/>
      <c r="D122" s="11"/>
      <c r="E122" s="11"/>
      <c r="F122" s="11"/>
      <c r="G122" s="11"/>
      <c r="H122" s="11"/>
      <c r="I122" s="11"/>
      <c r="J122" s="11"/>
      <c r="K122" s="11"/>
      <c r="L122" s="11"/>
      <c r="M122" s="11"/>
      <c r="N122" s="12"/>
      <c r="O122" s="12"/>
      <c r="P122" s="12"/>
      <c r="Q122" s="12"/>
      <c r="R122" s="12"/>
      <c r="S122" s="12"/>
      <c r="T122" s="12"/>
    </row>
    <row r="123" spans="1:20" ht="31.5" x14ac:dyDescent="0.25">
      <c r="A123" s="12"/>
      <c r="B123" s="91" t="s">
        <v>20</v>
      </c>
      <c r="C123" s="92" t="s">
        <v>76</v>
      </c>
      <c r="D123" s="123" t="s">
        <v>77</v>
      </c>
      <c r="E123" s="123" t="s">
        <v>78</v>
      </c>
      <c r="F123" s="93" t="s">
        <v>79</v>
      </c>
      <c r="G123" s="11"/>
      <c r="H123" s="11"/>
      <c r="I123" s="11"/>
      <c r="J123" s="11"/>
      <c r="K123" s="11"/>
      <c r="L123" s="94"/>
      <c r="M123" s="11"/>
      <c r="N123" s="12"/>
      <c r="O123" s="12"/>
      <c r="P123" s="12"/>
      <c r="Q123" s="12"/>
      <c r="R123" s="12"/>
      <c r="S123" s="12"/>
      <c r="T123" s="12"/>
    </row>
    <row r="124" spans="1:20" ht="15.75" x14ac:dyDescent="0.25">
      <c r="A124" s="12"/>
      <c r="B124" s="95">
        <v>1</v>
      </c>
      <c r="C124" s="249">
        <v>330000</v>
      </c>
      <c r="D124" s="250">
        <f>-$C120</f>
        <v>55864.669515074318</v>
      </c>
      <c r="E124" s="251">
        <f>$C118*C124</f>
        <v>36300</v>
      </c>
      <c r="F124" s="252">
        <f>D124-E124</f>
        <v>19564.669515074318</v>
      </c>
      <c r="G124" s="11"/>
      <c r="H124" s="11"/>
      <c r="I124" s="11"/>
      <c r="J124" s="11"/>
      <c r="K124" s="11"/>
      <c r="L124" s="11"/>
      <c r="M124" s="11"/>
      <c r="N124" s="12"/>
      <c r="O124" s="12"/>
      <c r="P124" s="12"/>
      <c r="Q124" s="12"/>
      <c r="R124" s="12"/>
      <c r="S124" s="12"/>
      <c r="T124" s="12"/>
    </row>
    <row r="125" spans="1:20" ht="16.5" thickBot="1" x14ac:dyDescent="0.3">
      <c r="A125" s="12"/>
      <c r="B125" s="95">
        <v>2</v>
      </c>
      <c r="C125" s="250">
        <f t="shared" ref="C125:C133" si="20">C124-F124</f>
        <v>310435.33048492565</v>
      </c>
      <c r="D125" s="250">
        <f>$D124</f>
        <v>55864.669515074318</v>
      </c>
      <c r="E125" s="251">
        <f>$C118*C125</f>
        <v>34147.886353341819</v>
      </c>
      <c r="F125" s="252">
        <f t="shared" ref="F125:F133" si="21">D125-E125</f>
        <v>21716.783161732499</v>
      </c>
      <c r="G125" s="11"/>
      <c r="H125" s="11"/>
      <c r="I125" s="11"/>
      <c r="J125" s="11"/>
      <c r="K125" s="11"/>
      <c r="L125" s="100"/>
      <c r="M125" s="11"/>
      <c r="N125" s="12"/>
      <c r="O125" s="12"/>
      <c r="P125" s="12"/>
      <c r="Q125" s="12"/>
      <c r="R125" s="12"/>
      <c r="S125" s="12"/>
      <c r="T125" s="12"/>
    </row>
    <row r="126" spans="1:20" ht="15.75" x14ac:dyDescent="0.25">
      <c r="A126" s="12"/>
      <c r="B126" s="95">
        <v>3</v>
      </c>
      <c r="C126" s="250">
        <f t="shared" si="20"/>
        <v>288718.54732319317</v>
      </c>
      <c r="D126" s="250">
        <f t="shared" ref="D126:D133" si="22">$D125</f>
        <v>55864.669515074318</v>
      </c>
      <c r="E126" s="251">
        <f>C118*C126</f>
        <v>31759.04020555125</v>
      </c>
      <c r="F126" s="252">
        <f t="shared" si="21"/>
        <v>24105.629309523069</v>
      </c>
      <c r="G126" s="11"/>
      <c r="H126" s="283" t="s">
        <v>159</v>
      </c>
      <c r="I126" s="284"/>
      <c r="J126" s="284"/>
      <c r="K126" s="284"/>
      <c r="L126" s="285"/>
      <c r="M126" s="11"/>
      <c r="N126" s="12"/>
      <c r="O126" s="12"/>
      <c r="P126" s="12"/>
      <c r="Q126" s="12"/>
      <c r="R126" s="12"/>
      <c r="S126" s="12"/>
      <c r="T126" s="12"/>
    </row>
    <row r="127" spans="1:20" ht="15.75" x14ac:dyDescent="0.25">
      <c r="A127" s="12"/>
      <c r="B127" s="95">
        <v>4</v>
      </c>
      <c r="C127" s="250">
        <f t="shared" si="20"/>
        <v>264612.91801367007</v>
      </c>
      <c r="D127" s="250">
        <f t="shared" si="22"/>
        <v>55864.669515074318</v>
      </c>
      <c r="E127" s="251">
        <f>C118*C127</f>
        <v>29107.420981503707</v>
      </c>
      <c r="F127" s="252">
        <f t="shared" si="21"/>
        <v>26757.248533570611</v>
      </c>
      <c r="G127" s="11"/>
      <c r="H127" s="286"/>
      <c r="I127" s="287"/>
      <c r="J127" s="287"/>
      <c r="K127" s="287"/>
      <c r="L127" s="288"/>
      <c r="M127" s="11"/>
      <c r="N127" s="12"/>
      <c r="O127" s="12"/>
      <c r="P127" s="12"/>
      <c r="Q127" s="12"/>
      <c r="R127" s="12"/>
      <c r="S127" s="12"/>
      <c r="T127" s="12"/>
    </row>
    <row r="128" spans="1:20" ht="16.5" thickBot="1" x14ac:dyDescent="0.3">
      <c r="A128" s="12"/>
      <c r="B128" s="95">
        <v>5</v>
      </c>
      <c r="C128" s="250">
        <f t="shared" si="20"/>
        <v>237855.66948009946</v>
      </c>
      <c r="D128" s="250">
        <f t="shared" si="22"/>
        <v>55864.669515074318</v>
      </c>
      <c r="E128" s="251">
        <f>C118*C128</f>
        <v>26164.123642810941</v>
      </c>
      <c r="F128" s="252">
        <f t="shared" si="21"/>
        <v>29700.545872263378</v>
      </c>
      <c r="G128" s="11"/>
      <c r="H128" s="289"/>
      <c r="I128" s="290"/>
      <c r="J128" s="290"/>
      <c r="K128" s="290"/>
      <c r="L128" s="291"/>
      <c r="M128" s="11"/>
      <c r="N128" s="12"/>
      <c r="O128" s="12"/>
      <c r="P128" s="12"/>
      <c r="Q128" s="12"/>
      <c r="R128" s="12"/>
      <c r="S128" s="12"/>
      <c r="T128" s="12"/>
    </row>
    <row r="129" spans="1:20" ht="15.75" x14ac:dyDescent="0.25">
      <c r="A129" s="12"/>
      <c r="B129" s="95">
        <v>6</v>
      </c>
      <c r="C129" s="250">
        <f t="shared" si="20"/>
        <v>208155.12360783608</v>
      </c>
      <c r="D129" s="250">
        <f t="shared" si="22"/>
        <v>55864.669515074318</v>
      </c>
      <c r="E129" s="251">
        <f>C118*C129</f>
        <v>22897.063596861968</v>
      </c>
      <c r="F129" s="252">
        <f t="shared" si="21"/>
        <v>32967.60591821235</v>
      </c>
      <c r="G129" s="11"/>
      <c r="H129" s="11"/>
      <c r="I129" s="11"/>
      <c r="J129" s="11"/>
      <c r="K129" s="11"/>
      <c r="L129" s="102"/>
      <c r="M129" s="11"/>
      <c r="N129" s="12"/>
      <c r="O129" s="12"/>
      <c r="P129" s="12"/>
      <c r="Q129" s="12"/>
      <c r="R129" s="12"/>
      <c r="S129" s="12"/>
      <c r="T129" s="12"/>
    </row>
    <row r="130" spans="1:20" ht="15.75" x14ac:dyDescent="0.25">
      <c r="B130" s="95">
        <v>7</v>
      </c>
      <c r="C130" s="250">
        <f t="shared" si="20"/>
        <v>175187.51768962372</v>
      </c>
      <c r="D130" s="250">
        <f t="shared" si="22"/>
        <v>55864.669515074318</v>
      </c>
      <c r="E130" s="251">
        <f>C118*C130</f>
        <v>19270.62694585861</v>
      </c>
      <c r="F130" s="252">
        <f t="shared" si="21"/>
        <v>36594.042569215708</v>
      </c>
    </row>
    <row r="131" spans="1:20" ht="15.75" x14ac:dyDescent="0.25">
      <c r="B131" s="95">
        <v>8</v>
      </c>
      <c r="C131" s="250">
        <f t="shared" si="20"/>
        <v>138593.47512040802</v>
      </c>
      <c r="D131" s="250">
        <f t="shared" si="22"/>
        <v>55864.669515074318</v>
      </c>
      <c r="E131" s="251">
        <f>C118*C131</f>
        <v>15245.282263244882</v>
      </c>
      <c r="F131" s="252">
        <f t="shared" si="21"/>
        <v>40619.387251829437</v>
      </c>
    </row>
    <row r="132" spans="1:20" ht="15.75" x14ac:dyDescent="0.25">
      <c r="B132" s="95">
        <v>9</v>
      </c>
      <c r="C132" s="250">
        <f t="shared" si="20"/>
        <v>97974.087868578586</v>
      </c>
      <c r="D132" s="250">
        <f t="shared" si="22"/>
        <v>55864.669515074318</v>
      </c>
      <c r="E132" s="251">
        <f>C118*C132</f>
        <v>10777.149665543644</v>
      </c>
      <c r="F132" s="252">
        <f t="shared" si="21"/>
        <v>45087.519849530676</v>
      </c>
    </row>
    <row r="133" spans="1:20" ht="15.75" x14ac:dyDescent="0.25">
      <c r="B133" s="95">
        <v>10</v>
      </c>
      <c r="C133" s="250">
        <f t="shared" si="20"/>
        <v>52886.568019047911</v>
      </c>
      <c r="D133" s="250">
        <f t="shared" si="22"/>
        <v>55864.669515074318</v>
      </c>
      <c r="E133" s="251">
        <f>C118*C133</f>
        <v>5817.5224820952699</v>
      </c>
      <c r="F133" s="252">
        <f t="shared" si="21"/>
        <v>50047.147032979046</v>
      </c>
    </row>
    <row r="134" spans="1:20" x14ac:dyDescent="0.25">
      <c r="B134" s="103"/>
    </row>
    <row r="137" spans="1:20" ht="16.5" thickBot="1" x14ac:dyDescent="0.3">
      <c r="B137" s="202" t="s">
        <v>80</v>
      </c>
    </row>
    <row r="138" spans="1:20" x14ac:dyDescent="0.25">
      <c r="B138" s="52" t="s">
        <v>45</v>
      </c>
      <c r="C138" s="53">
        <v>1</v>
      </c>
      <c r="D138" s="53">
        <v>2</v>
      </c>
      <c r="E138" s="53">
        <v>3</v>
      </c>
      <c r="F138" s="53">
        <v>4</v>
      </c>
      <c r="G138" s="53">
        <v>5</v>
      </c>
      <c r="H138" s="53">
        <v>6</v>
      </c>
      <c r="I138" s="53">
        <v>7</v>
      </c>
      <c r="J138" s="53">
        <v>8</v>
      </c>
      <c r="K138" s="53">
        <v>9</v>
      </c>
      <c r="L138" s="54">
        <v>10</v>
      </c>
      <c r="M138" s="30"/>
      <c r="N138" s="12"/>
    </row>
    <row r="139" spans="1:20" x14ac:dyDescent="0.25">
      <c r="B139" s="24" t="s">
        <v>46</v>
      </c>
      <c r="C139" s="41">
        <f t="shared" ref="C139:L139" si="23">C77</f>
        <v>240000</v>
      </c>
      <c r="D139" s="41">
        <f t="shared" si="23"/>
        <v>320000</v>
      </c>
      <c r="E139" s="41">
        <f t="shared" si="23"/>
        <v>400000</v>
      </c>
      <c r="F139" s="41">
        <f t="shared" si="23"/>
        <v>400000</v>
      </c>
      <c r="G139" s="41">
        <f t="shared" si="23"/>
        <v>400000</v>
      </c>
      <c r="H139" s="41">
        <f t="shared" si="23"/>
        <v>400000</v>
      </c>
      <c r="I139" s="41">
        <f t="shared" si="23"/>
        <v>400000</v>
      </c>
      <c r="J139" s="41">
        <f t="shared" si="23"/>
        <v>400000</v>
      </c>
      <c r="K139" s="41">
        <f t="shared" si="23"/>
        <v>400000</v>
      </c>
      <c r="L139" s="41">
        <f t="shared" si="23"/>
        <v>400000</v>
      </c>
      <c r="M139" s="45"/>
      <c r="N139" s="12"/>
    </row>
    <row r="140" spans="1:20" x14ac:dyDescent="0.25">
      <c r="B140" s="24" t="s">
        <v>47</v>
      </c>
      <c r="C140" s="41">
        <f t="shared" ref="C140:C146" si="24">C78</f>
        <v>26400</v>
      </c>
      <c r="D140" s="41">
        <f t="shared" ref="D140:L140" si="25">D139*$C103</f>
        <v>90251.103369071396</v>
      </c>
      <c r="E140" s="41">
        <f t="shared" si="25"/>
        <v>112813.87921133926</v>
      </c>
      <c r="F140" s="41">
        <f t="shared" si="25"/>
        <v>112813.87921133926</v>
      </c>
      <c r="G140" s="41">
        <f t="shared" si="25"/>
        <v>112813.87921133926</v>
      </c>
      <c r="H140" s="41">
        <f t="shared" si="25"/>
        <v>112813.87921133926</v>
      </c>
      <c r="I140" s="41">
        <f t="shared" si="25"/>
        <v>112813.87921133926</v>
      </c>
      <c r="J140" s="41">
        <f t="shared" si="25"/>
        <v>112813.87921133926</v>
      </c>
      <c r="K140" s="41">
        <f t="shared" si="25"/>
        <v>112813.87921133926</v>
      </c>
      <c r="L140" s="41">
        <f t="shared" si="25"/>
        <v>112813.87921133926</v>
      </c>
      <c r="M140" s="45"/>
      <c r="N140" s="12"/>
    </row>
    <row r="141" spans="1:20" x14ac:dyDescent="0.25">
      <c r="B141" s="24" t="s">
        <v>48</v>
      </c>
      <c r="C141" s="41">
        <f t="shared" si="24"/>
        <v>4620</v>
      </c>
      <c r="D141" s="41">
        <f t="shared" ref="D141:L141" si="26">D79</f>
        <v>5720</v>
      </c>
      <c r="E141" s="41">
        <f t="shared" si="26"/>
        <v>6820</v>
      </c>
      <c r="F141" s="41">
        <f t="shared" si="26"/>
        <v>6820</v>
      </c>
      <c r="G141" s="41">
        <f t="shared" si="26"/>
        <v>6820</v>
      </c>
      <c r="H141" s="41">
        <f t="shared" si="26"/>
        <v>6820</v>
      </c>
      <c r="I141" s="41">
        <f t="shared" si="26"/>
        <v>6820</v>
      </c>
      <c r="J141" s="41">
        <f t="shared" si="26"/>
        <v>6820</v>
      </c>
      <c r="K141" s="41">
        <f t="shared" si="26"/>
        <v>6820</v>
      </c>
      <c r="L141" s="41">
        <f t="shared" si="26"/>
        <v>6820</v>
      </c>
      <c r="M141" s="45"/>
      <c r="N141" s="12"/>
    </row>
    <row r="142" spans="1:20" ht="15.75" thickBot="1" x14ac:dyDescent="0.3">
      <c r="B142" s="24" t="s">
        <v>49</v>
      </c>
      <c r="C142" s="41">
        <f t="shared" si="24"/>
        <v>4800</v>
      </c>
      <c r="D142" s="41">
        <f t="shared" ref="D142:L142" si="27">D80</f>
        <v>6400</v>
      </c>
      <c r="E142" s="41">
        <f t="shared" si="27"/>
        <v>8000</v>
      </c>
      <c r="F142" s="41">
        <f t="shared" si="27"/>
        <v>8000</v>
      </c>
      <c r="G142" s="41">
        <f t="shared" si="27"/>
        <v>8000</v>
      </c>
      <c r="H142" s="41">
        <f t="shared" si="27"/>
        <v>8000</v>
      </c>
      <c r="I142" s="41">
        <f t="shared" si="27"/>
        <v>8000</v>
      </c>
      <c r="J142" s="41">
        <f t="shared" si="27"/>
        <v>8000</v>
      </c>
      <c r="K142" s="41">
        <f t="shared" si="27"/>
        <v>8000</v>
      </c>
      <c r="L142" s="41">
        <f t="shared" si="27"/>
        <v>8000</v>
      </c>
      <c r="M142" s="45"/>
      <c r="N142" s="12"/>
    </row>
    <row r="143" spans="1:20" x14ac:dyDescent="0.25">
      <c r="B143" s="55" t="s">
        <v>50</v>
      </c>
      <c r="C143" s="233">
        <f t="shared" si="24"/>
        <v>213420</v>
      </c>
      <c r="D143" s="233">
        <f t="shared" ref="D143:L143" si="28">D81</f>
        <v>284120</v>
      </c>
      <c r="E143" s="233">
        <f t="shared" si="28"/>
        <v>354820</v>
      </c>
      <c r="F143" s="233">
        <f t="shared" si="28"/>
        <v>354820</v>
      </c>
      <c r="G143" s="233">
        <f t="shared" si="28"/>
        <v>354820</v>
      </c>
      <c r="H143" s="233">
        <f t="shared" si="28"/>
        <v>354820</v>
      </c>
      <c r="I143" s="233">
        <f t="shared" si="28"/>
        <v>354820</v>
      </c>
      <c r="J143" s="233">
        <f t="shared" si="28"/>
        <v>354820</v>
      </c>
      <c r="K143" s="233">
        <f t="shared" si="28"/>
        <v>354820</v>
      </c>
      <c r="L143" s="233">
        <f t="shared" si="28"/>
        <v>354820</v>
      </c>
      <c r="M143" s="57"/>
      <c r="N143" s="274" t="s">
        <v>160</v>
      </c>
      <c r="O143" s="275"/>
      <c r="P143" s="275"/>
      <c r="Q143" s="275"/>
      <c r="R143" s="276"/>
      <c r="S143" s="198"/>
    </row>
    <row r="144" spans="1:20" x14ac:dyDescent="0.25">
      <c r="B144" s="55" t="s">
        <v>51</v>
      </c>
      <c r="C144" s="236">
        <f t="shared" si="24"/>
        <v>100000</v>
      </c>
      <c r="D144" s="236">
        <f t="shared" ref="D144:L144" si="29">D82</f>
        <v>120000</v>
      </c>
      <c r="E144" s="236">
        <f t="shared" si="29"/>
        <v>140000</v>
      </c>
      <c r="F144" s="236">
        <f t="shared" si="29"/>
        <v>140000</v>
      </c>
      <c r="G144" s="236">
        <f t="shared" si="29"/>
        <v>140000</v>
      </c>
      <c r="H144" s="236">
        <f t="shared" si="29"/>
        <v>140000</v>
      </c>
      <c r="I144" s="236">
        <f t="shared" si="29"/>
        <v>140000</v>
      </c>
      <c r="J144" s="236">
        <f t="shared" si="29"/>
        <v>140000</v>
      </c>
      <c r="K144" s="236">
        <f t="shared" si="29"/>
        <v>140000</v>
      </c>
      <c r="L144" s="236">
        <f t="shared" si="29"/>
        <v>140000</v>
      </c>
      <c r="M144" s="57"/>
      <c r="N144" s="277"/>
      <c r="O144" s="278"/>
      <c r="P144" s="278"/>
      <c r="Q144" s="278"/>
      <c r="R144" s="279"/>
      <c r="S144" s="198"/>
    </row>
    <row r="145" spans="2:19" x14ac:dyDescent="0.25">
      <c r="B145" s="24" t="s">
        <v>52</v>
      </c>
      <c r="C145" s="41">
        <f t="shared" si="24"/>
        <v>75000</v>
      </c>
      <c r="D145" s="41">
        <f t="shared" ref="D145:L145" si="30">D83</f>
        <v>100000</v>
      </c>
      <c r="E145" s="41">
        <f t="shared" si="30"/>
        <v>125000</v>
      </c>
      <c r="F145" s="41">
        <f t="shared" si="30"/>
        <v>125000</v>
      </c>
      <c r="G145" s="41">
        <f t="shared" si="30"/>
        <v>125000</v>
      </c>
      <c r="H145" s="41">
        <f t="shared" si="30"/>
        <v>125000</v>
      </c>
      <c r="I145" s="41">
        <f t="shared" si="30"/>
        <v>125000</v>
      </c>
      <c r="J145" s="41">
        <f t="shared" si="30"/>
        <v>125000</v>
      </c>
      <c r="K145" s="41">
        <f t="shared" si="30"/>
        <v>125000</v>
      </c>
      <c r="L145" s="41">
        <f t="shared" si="30"/>
        <v>125000</v>
      </c>
      <c r="M145" s="45"/>
      <c r="N145" s="277"/>
      <c r="O145" s="278"/>
      <c r="P145" s="278"/>
      <c r="Q145" s="278"/>
      <c r="R145" s="279"/>
      <c r="S145" s="198"/>
    </row>
    <row r="146" spans="2:19" x14ac:dyDescent="0.25">
      <c r="B146" s="24" t="s">
        <v>53</v>
      </c>
      <c r="C146" s="41">
        <f t="shared" si="24"/>
        <v>30000</v>
      </c>
      <c r="D146" s="41">
        <f t="shared" ref="D146:L146" si="31">D84</f>
        <v>30000</v>
      </c>
      <c r="E146" s="41">
        <f t="shared" si="31"/>
        <v>30000</v>
      </c>
      <c r="F146" s="41">
        <f t="shared" si="31"/>
        <v>30000</v>
      </c>
      <c r="G146" s="41">
        <f t="shared" si="31"/>
        <v>30000</v>
      </c>
      <c r="H146" s="41">
        <f t="shared" si="31"/>
        <v>30000</v>
      </c>
      <c r="I146" s="41">
        <f t="shared" si="31"/>
        <v>30000</v>
      </c>
      <c r="J146" s="41">
        <f t="shared" si="31"/>
        <v>30000</v>
      </c>
      <c r="K146" s="41">
        <f t="shared" si="31"/>
        <v>30000</v>
      </c>
      <c r="L146" s="41">
        <f t="shared" si="31"/>
        <v>30000</v>
      </c>
      <c r="M146" s="45"/>
      <c r="N146" s="277"/>
      <c r="O146" s="278"/>
      <c r="P146" s="278"/>
      <c r="Q146" s="278"/>
      <c r="R146" s="279"/>
      <c r="S146" s="198"/>
    </row>
    <row r="147" spans="2:19" ht="15.75" thickBot="1" x14ac:dyDescent="0.3">
      <c r="B147" s="55" t="s">
        <v>54</v>
      </c>
      <c r="C147" s="56">
        <f>C148+C149</f>
        <v>69900</v>
      </c>
      <c r="D147" s="56">
        <f t="shared" ref="D147:L147" si="32">D148+D149</f>
        <v>67747.886353341819</v>
      </c>
      <c r="E147" s="56">
        <f t="shared" si="32"/>
        <v>65359.040205551253</v>
      </c>
      <c r="F147" s="56">
        <f t="shared" si="32"/>
        <v>62707.420981503703</v>
      </c>
      <c r="G147" s="56">
        <f t="shared" si="32"/>
        <v>59764.123642810941</v>
      </c>
      <c r="H147" s="56">
        <f t="shared" si="32"/>
        <v>56497.063596861968</v>
      </c>
      <c r="I147" s="56">
        <f t="shared" si="32"/>
        <v>52870.62694585861</v>
      </c>
      <c r="J147" s="56">
        <f t="shared" si="32"/>
        <v>48845.282263244881</v>
      </c>
      <c r="K147" s="56">
        <f t="shared" si="32"/>
        <v>44377.149665543642</v>
      </c>
      <c r="L147" s="56">
        <f t="shared" si="32"/>
        <v>39417.522482095272</v>
      </c>
      <c r="M147" s="57"/>
      <c r="N147" s="280"/>
      <c r="O147" s="281"/>
      <c r="P147" s="281"/>
      <c r="Q147" s="281"/>
      <c r="R147" s="282"/>
    </row>
    <row r="148" spans="2:19" x14ac:dyDescent="0.25">
      <c r="B148" s="24" t="s">
        <v>55</v>
      </c>
      <c r="C148" s="41">
        <f t="shared" ref="C148:L148" si="33">C86</f>
        <v>33600</v>
      </c>
      <c r="D148" s="41">
        <f t="shared" si="33"/>
        <v>33600</v>
      </c>
      <c r="E148" s="41">
        <f t="shared" si="33"/>
        <v>33600</v>
      </c>
      <c r="F148" s="41">
        <f t="shared" si="33"/>
        <v>33600</v>
      </c>
      <c r="G148" s="41">
        <f t="shared" si="33"/>
        <v>33600</v>
      </c>
      <c r="H148" s="41">
        <f t="shared" si="33"/>
        <v>33600</v>
      </c>
      <c r="I148" s="41">
        <f t="shared" si="33"/>
        <v>33600</v>
      </c>
      <c r="J148" s="41">
        <f t="shared" si="33"/>
        <v>33600</v>
      </c>
      <c r="K148" s="41">
        <f t="shared" si="33"/>
        <v>33600</v>
      </c>
      <c r="L148" s="41">
        <f t="shared" si="33"/>
        <v>33600</v>
      </c>
      <c r="M148" s="45"/>
      <c r="N148" s="12"/>
    </row>
    <row r="149" spans="2:19" x14ac:dyDescent="0.25">
      <c r="B149" s="24" t="s">
        <v>81</v>
      </c>
      <c r="C149" s="41">
        <f>E124</f>
        <v>36300</v>
      </c>
      <c r="D149" s="41">
        <f>E125</f>
        <v>34147.886353341819</v>
      </c>
      <c r="E149" s="41">
        <f>E126</f>
        <v>31759.04020555125</v>
      </c>
      <c r="F149" s="41">
        <f>E127</f>
        <v>29107.420981503707</v>
      </c>
      <c r="G149" s="41">
        <f>E128</f>
        <v>26164.123642810941</v>
      </c>
      <c r="H149" s="41">
        <f>E129</f>
        <v>22897.063596861968</v>
      </c>
      <c r="I149" s="41">
        <f>E130</f>
        <v>19270.62694585861</v>
      </c>
      <c r="J149" s="41">
        <f>E131</f>
        <v>15245.282263244882</v>
      </c>
      <c r="K149" s="41">
        <f>E132</f>
        <v>10777.149665543644</v>
      </c>
      <c r="L149" s="41">
        <f>E133</f>
        <v>5817.5224820952699</v>
      </c>
      <c r="M149" s="45"/>
      <c r="N149" s="12"/>
    </row>
    <row r="150" spans="2:19" ht="15.75" thickBot="1" x14ac:dyDescent="0.3">
      <c r="B150" s="182" t="s">
        <v>56</v>
      </c>
      <c r="C150" s="183">
        <f>C143-C144-C147</f>
        <v>43520</v>
      </c>
      <c r="D150" s="183">
        <f t="shared" ref="D150:L150" si="34">D143-D144-D147</f>
        <v>96372.113646658181</v>
      </c>
      <c r="E150" s="183">
        <f t="shared" si="34"/>
        <v>149460.95979444875</v>
      </c>
      <c r="F150" s="183">
        <f t="shared" si="34"/>
        <v>152112.5790184963</v>
      </c>
      <c r="G150" s="183">
        <f t="shared" si="34"/>
        <v>155055.87635718906</v>
      </c>
      <c r="H150" s="183">
        <f t="shared" si="34"/>
        <v>158322.93640313804</v>
      </c>
      <c r="I150" s="183">
        <f t="shared" si="34"/>
        <v>161949.37305414138</v>
      </c>
      <c r="J150" s="183">
        <f t="shared" si="34"/>
        <v>165974.71773675512</v>
      </c>
      <c r="K150" s="183">
        <f t="shared" si="34"/>
        <v>170442.85033445637</v>
      </c>
      <c r="L150" s="183">
        <f t="shared" si="34"/>
        <v>175402.47751790471</v>
      </c>
      <c r="M150" s="45"/>
      <c r="N150" s="12"/>
    </row>
    <row r="151" spans="2:19" ht="15.75" thickBot="1" x14ac:dyDescent="0.3">
      <c r="B151" s="218" t="s">
        <v>146</v>
      </c>
      <c r="C151" s="241">
        <f t="shared" ref="C151:L151" si="35">$C43*C150</f>
        <v>9574.4</v>
      </c>
      <c r="D151" s="241">
        <f t="shared" si="35"/>
        <v>21201.8650022648</v>
      </c>
      <c r="E151" s="241">
        <f t="shared" si="35"/>
        <v>32881.411154778725</v>
      </c>
      <c r="F151" s="241">
        <f t="shared" si="35"/>
        <v>33464.767384069186</v>
      </c>
      <c r="G151" s="241">
        <f t="shared" si="35"/>
        <v>34112.292798581591</v>
      </c>
      <c r="H151" s="241">
        <f t="shared" si="35"/>
        <v>34831.046008690369</v>
      </c>
      <c r="I151" s="241">
        <f t="shared" si="35"/>
        <v>35628.862071911106</v>
      </c>
      <c r="J151" s="241">
        <f t="shared" si="35"/>
        <v>36514.437902086123</v>
      </c>
      <c r="K151" s="241">
        <f t="shared" si="35"/>
        <v>37497.427073580402</v>
      </c>
      <c r="L151" s="242">
        <f t="shared" si="35"/>
        <v>38588.545053939037</v>
      </c>
      <c r="M151" s="57"/>
      <c r="N151" s="12"/>
    </row>
    <row r="152" spans="2:19" x14ac:dyDescent="0.25">
      <c r="B152" s="12"/>
      <c r="C152" s="11"/>
      <c r="D152" s="11"/>
      <c r="E152" s="11"/>
      <c r="F152" s="11"/>
      <c r="G152" s="11"/>
      <c r="H152" s="11"/>
      <c r="I152" s="11"/>
      <c r="J152" s="11"/>
      <c r="K152" s="11"/>
      <c r="L152" s="11"/>
      <c r="M152" s="11"/>
      <c r="N152" s="12"/>
    </row>
    <row r="153" spans="2:19" ht="16.5" thickBot="1" x14ac:dyDescent="0.3">
      <c r="B153" s="203" t="s">
        <v>82</v>
      </c>
    </row>
    <row r="154" spans="2:19" x14ac:dyDescent="0.25">
      <c r="B154" s="63" t="s">
        <v>20</v>
      </c>
      <c r="C154" s="64">
        <v>0</v>
      </c>
      <c r="D154" s="64">
        <v>1</v>
      </c>
      <c r="E154" s="64">
        <v>2</v>
      </c>
      <c r="F154" s="64">
        <v>3</v>
      </c>
      <c r="G154" s="64">
        <v>4</v>
      </c>
      <c r="H154" s="64">
        <v>5</v>
      </c>
      <c r="I154" s="64">
        <v>6</v>
      </c>
      <c r="J154" s="64">
        <v>7</v>
      </c>
      <c r="K154" s="64">
        <v>8</v>
      </c>
      <c r="L154" s="64">
        <v>9</v>
      </c>
      <c r="M154" s="65">
        <v>10</v>
      </c>
      <c r="N154" s="66"/>
    </row>
    <row r="155" spans="2:19" x14ac:dyDescent="0.25">
      <c r="B155" s="67" t="s">
        <v>60</v>
      </c>
      <c r="C155" s="230">
        <f>C92</f>
        <v>-470000</v>
      </c>
      <c r="D155" s="68"/>
      <c r="E155" s="68"/>
      <c r="F155" s="68"/>
      <c r="G155" s="68"/>
      <c r="H155" s="68"/>
      <c r="I155" s="68"/>
      <c r="J155" s="68"/>
      <c r="K155" s="68"/>
      <c r="L155" s="68"/>
      <c r="M155" s="68"/>
      <c r="N155" s="71"/>
    </row>
    <row r="156" spans="2:19" x14ac:dyDescent="0.25">
      <c r="B156" s="67" t="s">
        <v>156</v>
      </c>
      <c r="C156" s="68"/>
      <c r="D156" s="232">
        <f>-F73</f>
        <v>-28500</v>
      </c>
      <c r="E156" s="68"/>
      <c r="F156" s="68"/>
      <c r="G156" s="68"/>
      <c r="H156" s="68"/>
      <c r="I156" s="68"/>
      <c r="J156" s="68"/>
      <c r="K156" s="68"/>
      <c r="L156" s="68"/>
      <c r="M156" s="68">
        <v>28500</v>
      </c>
      <c r="N156" s="209"/>
    </row>
    <row r="157" spans="2:19" x14ac:dyDescent="0.25">
      <c r="B157" s="67" t="s">
        <v>61</v>
      </c>
      <c r="C157" s="68"/>
      <c r="D157" s="234">
        <f t="shared" ref="D157:M157" si="36">D94</f>
        <v>213420</v>
      </c>
      <c r="E157" s="234">
        <f t="shared" si="36"/>
        <v>284120</v>
      </c>
      <c r="F157" s="234">
        <f t="shared" si="36"/>
        <v>354820</v>
      </c>
      <c r="G157" s="234">
        <f t="shared" si="36"/>
        <v>354820</v>
      </c>
      <c r="H157" s="234">
        <f t="shared" si="36"/>
        <v>354820</v>
      </c>
      <c r="I157" s="234">
        <f t="shared" si="36"/>
        <v>354820</v>
      </c>
      <c r="J157" s="234">
        <f t="shared" si="36"/>
        <v>354820</v>
      </c>
      <c r="K157" s="234">
        <f t="shared" si="36"/>
        <v>354820</v>
      </c>
      <c r="L157" s="234">
        <f t="shared" si="36"/>
        <v>354820</v>
      </c>
      <c r="M157" s="234">
        <f t="shared" si="36"/>
        <v>354820</v>
      </c>
      <c r="N157" s="72"/>
    </row>
    <row r="158" spans="2:19" x14ac:dyDescent="0.25">
      <c r="B158" s="67" t="s">
        <v>62</v>
      </c>
      <c r="C158" s="68"/>
      <c r="D158" s="246">
        <f t="shared" ref="D158:M158" si="37">D95</f>
        <v>-100000</v>
      </c>
      <c r="E158" s="246">
        <f t="shared" si="37"/>
        <v>-120000</v>
      </c>
      <c r="F158" s="246">
        <f t="shared" si="37"/>
        <v>-140000</v>
      </c>
      <c r="G158" s="246">
        <f t="shared" si="37"/>
        <v>-140000</v>
      </c>
      <c r="H158" s="246">
        <f t="shared" si="37"/>
        <v>-140000</v>
      </c>
      <c r="I158" s="246">
        <f t="shared" si="37"/>
        <v>-140000</v>
      </c>
      <c r="J158" s="246">
        <f t="shared" si="37"/>
        <v>-140000</v>
      </c>
      <c r="K158" s="246">
        <f t="shared" si="37"/>
        <v>-140000</v>
      </c>
      <c r="L158" s="246">
        <f t="shared" si="37"/>
        <v>-140000</v>
      </c>
      <c r="M158" s="246">
        <f t="shared" si="37"/>
        <v>-140000</v>
      </c>
      <c r="N158" s="72"/>
    </row>
    <row r="159" spans="2:19" x14ac:dyDescent="0.25">
      <c r="B159" s="67" t="s">
        <v>145</v>
      </c>
      <c r="C159" s="68"/>
      <c r="D159" s="243">
        <f>-C151</f>
        <v>-9574.4</v>
      </c>
      <c r="E159" s="243">
        <f t="shared" ref="E159:M159" si="38">-D151</f>
        <v>-21201.8650022648</v>
      </c>
      <c r="F159" s="243">
        <f t="shared" si="38"/>
        <v>-32881.411154778725</v>
      </c>
      <c r="G159" s="243">
        <f t="shared" si="38"/>
        <v>-33464.767384069186</v>
      </c>
      <c r="H159" s="243">
        <f t="shared" si="38"/>
        <v>-34112.292798581591</v>
      </c>
      <c r="I159" s="243">
        <f t="shared" si="38"/>
        <v>-34831.046008690369</v>
      </c>
      <c r="J159" s="243">
        <f t="shared" si="38"/>
        <v>-35628.862071911106</v>
      </c>
      <c r="K159" s="243">
        <f t="shared" si="38"/>
        <v>-36514.437902086123</v>
      </c>
      <c r="L159" s="243">
        <f t="shared" si="38"/>
        <v>-37497.427073580402</v>
      </c>
      <c r="M159" s="243">
        <f t="shared" si="38"/>
        <v>-38588.545053939037</v>
      </c>
      <c r="N159" s="72"/>
    </row>
    <row r="160" spans="2:19" ht="15.75" thickBot="1" x14ac:dyDescent="0.3">
      <c r="B160" s="105" t="s">
        <v>64</v>
      </c>
      <c r="C160" s="176"/>
      <c r="D160" s="176"/>
      <c r="E160" s="176"/>
      <c r="F160" s="176"/>
      <c r="G160" s="176"/>
      <c r="H160" s="176"/>
      <c r="I160" s="176"/>
      <c r="J160" s="176"/>
      <c r="K160" s="176"/>
      <c r="L160" s="176"/>
      <c r="M160" s="176">
        <f>M97</f>
        <v>84000</v>
      </c>
      <c r="N160" s="177"/>
    </row>
    <row r="161" spans="2:14" ht="15.75" thickBot="1" x14ac:dyDescent="0.3">
      <c r="B161" s="216" t="s">
        <v>65</v>
      </c>
      <c r="C161" s="253">
        <f t="shared" ref="C161:M161" si="39">SUM(C155:C160)</f>
        <v>-470000</v>
      </c>
      <c r="D161" s="253">
        <f t="shared" si="39"/>
        <v>75345.600000000006</v>
      </c>
      <c r="E161" s="253">
        <f t="shared" si="39"/>
        <v>142918.13499773521</v>
      </c>
      <c r="F161" s="253">
        <f t="shared" si="39"/>
        <v>181938.58884522127</v>
      </c>
      <c r="G161" s="253">
        <f t="shared" si="39"/>
        <v>181355.23261593081</v>
      </c>
      <c r="H161" s="253">
        <f t="shared" si="39"/>
        <v>180707.70720141841</v>
      </c>
      <c r="I161" s="253">
        <f t="shared" si="39"/>
        <v>179988.95399130962</v>
      </c>
      <c r="J161" s="253">
        <f t="shared" si="39"/>
        <v>179191.13792808889</v>
      </c>
      <c r="K161" s="253">
        <f t="shared" si="39"/>
        <v>178305.56209791388</v>
      </c>
      <c r="L161" s="253">
        <f t="shared" si="39"/>
        <v>177322.57292641961</v>
      </c>
      <c r="M161" s="253">
        <f t="shared" si="39"/>
        <v>288731.45494606096</v>
      </c>
      <c r="N161" s="217"/>
    </row>
    <row r="162" spans="2:14" x14ac:dyDescent="0.25">
      <c r="B162" s="178" t="s">
        <v>83</v>
      </c>
      <c r="C162" s="179">
        <f>C117</f>
        <v>329000</v>
      </c>
      <c r="D162" s="179"/>
      <c r="E162" s="179"/>
      <c r="F162" s="179"/>
      <c r="G162" s="179"/>
      <c r="H162" s="179"/>
      <c r="I162" s="179"/>
      <c r="J162" s="179"/>
      <c r="K162" s="179"/>
      <c r="L162" s="179"/>
      <c r="M162" s="179"/>
      <c r="N162" s="59"/>
    </row>
    <row r="163" spans="2:14" x14ac:dyDescent="0.25">
      <c r="B163" s="105" t="s">
        <v>79</v>
      </c>
      <c r="C163" s="68"/>
      <c r="D163" s="247">
        <f>-F124</f>
        <v>-19564.669515074318</v>
      </c>
      <c r="E163" s="247">
        <f>-F125</f>
        <v>-21716.783161732499</v>
      </c>
      <c r="F163" s="247">
        <f>-F126</f>
        <v>-24105.629309523069</v>
      </c>
      <c r="G163" s="247">
        <f>-F127</f>
        <v>-26757.248533570611</v>
      </c>
      <c r="H163" s="247">
        <f>-F128</f>
        <v>-29700.545872263378</v>
      </c>
      <c r="I163" s="247">
        <f>-F129</f>
        <v>-32967.60591821235</v>
      </c>
      <c r="J163" s="247">
        <f>-F130</f>
        <v>-36594.042569215708</v>
      </c>
      <c r="K163" s="247">
        <f>-F131</f>
        <v>-40619.387251829437</v>
      </c>
      <c r="L163" s="247">
        <f>-F132</f>
        <v>-45087.519849530676</v>
      </c>
      <c r="M163" s="247">
        <f>-F133</f>
        <v>-50047.147032979046</v>
      </c>
      <c r="N163" s="106"/>
    </row>
    <row r="164" spans="2:14" x14ac:dyDescent="0.25">
      <c r="B164" s="67" t="s">
        <v>81</v>
      </c>
      <c r="C164" s="68"/>
      <c r="D164" s="248">
        <f>-E124</f>
        <v>-36300</v>
      </c>
      <c r="E164" s="248">
        <f>-E125</f>
        <v>-34147.886353341819</v>
      </c>
      <c r="F164" s="248">
        <f>-E126</f>
        <v>-31759.04020555125</v>
      </c>
      <c r="G164" s="248">
        <f>-E127</f>
        <v>-29107.420981503707</v>
      </c>
      <c r="H164" s="248">
        <f>-E128</f>
        <v>-26164.123642810941</v>
      </c>
      <c r="I164" s="248">
        <f>-E129</f>
        <v>-22897.063596861968</v>
      </c>
      <c r="J164" s="248">
        <f>-E130</f>
        <v>-19270.62694585861</v>
      </c>
      <c r="K164" s="248">
        <f>-E131</f>
        <v>-15245.282263244882</v>
      </c>
      <c r="L164" s="248">
        <f>-E132</f>
        <v>-10777.149665543644</v>
      </c>
      <c r="M164" s="248">
        <f>-E133</f>
        <v>-5817.5224820952699</v>
      </c>
      <c r="N164" s="106"/>
    </row>
    <row r="165" spans="2:14" ht="15.75" thickBot="1" x14ac:dyDescent="0.3">
      <c r="B165" s="175" t="s">
        <v>139</v>
      </c>
      <c r="C165" s="68">
        <f>SUM(C161:C164)</f>
        <v>-141000</v>
      </c>
      <c r="D165" s="68">
        <f t="shared" ref="D165:M165" si="40">SUM(D161:D164)</f>
        <v>19480.930484925688</v>
      </c>
      <c r="E165" s="68">
        <f t="shared" si="40"/>
        <v>87053.465482660889</v>
      </c>
      <c r="F165" s="68">
        <f t="shared" si="40"/>
        <v>126073.91933014695</v>
      </c>
      <c r="G165" s="68">
        <f t="shared" si="40"/>
        <v>125490.5631008565</v>
      </c>
      <c r="H165" s="68">
        <f t="shared" si="40"/>
        <v>124843.03768634409</v>
      </c>
      <c r="I165" s="68">
        <f t="shared" si="40"/>
        <v>124124.28447623531</v>
      </c>
      <c r="J165" s="68">
        <f t="shared" si="40"/>
        <v>123326.46841301458</v>
      </c>
      <c r="K165" s="68">
        <f t="shared" si="40"/>
        <v>122440.89258283956</v>
      </c>
      <c r="L165" s="68">
        <f t="shared" si="40"/>
        <v>121457.90341134528</v>
      </c>
      <c r="M165" s="68">
        <f t="shared" si="40"/>
        <v>232866.78543098664</v>
      </c>
      <c r="N165" s="75"/>
    </row>
    <row r="166" spans="2:14" x14ac:dyDescent="0.25">
      <c r="C166" s="107"/>
      <c r="D166" s="107"/>
      <c r="E166" s="107"/>
      <c r="F166" s="107"/>
      <c r="G166" s="107"/>
      <c r="H166" s="107"/>
      <c r="I166" s="107"/>
      <c r="J166" s="107"/>
      <c r="K166" s="107"/>
      <c r="L166" s="107"/>
      <c r="M166" s="107"/>
    </row>
    <row r="167" spans="2:14" x14ac:dyDescent="0.25">
      <c r="C167" s="107"/>
      <c r="D167" s="107"/>
      <c r="E167" s="107"/>
      <c r="F167" s="107"/>
      <c r="G167" s="107"/>
      <c r="H167" s="107"/>
      <c r="I167" s="107"/>
      <c r="J167" s="107"/>
      <c r="K167" s="107"/>
      <c r="L167" s="107"/>
      <c r="M167" s="107"/>
    </row>
    <row r="168" spans="2:14" ht="16.5" thickBot="1" x14ac:dyDescent="0.3">
      <c r="B168" s="202" t="s">
        <v>97</v>
      </c>
      <c r="C168" s="107"/>
      <c r="D168" s="107"/>
      <c r="E168" s="107"/>
      <c r="F168" s="204" t="s">
        <v>98</v>
      </c>
      <c r="G168" s="107"/>
      <c r="H168" s="107"/>
      <c r="I168" s="107"/>
      <c r="J168" s="107"/>
      <c r="K168" s="107"/>
      <c r="L168" s="107"/>
      <c r="M168" s="107"/>
    </row>
    <row r="169" spans="2:14" ht="15.75" x14ac:dyDescent="0.25">
      <c r="B169" s="142" t="s">
        <v>66</v>
      </c>
      <c r="C169" s="255">
        <f>NPV(C170, D161:M161)+C161</f>
        <v>463491.9623564044</v>
      </c>
      <c r="D169" s="107"/>
      <c r="E169" s="107"/>
      <c r="F169" s="158" t="s">
        <v>60</v>
      </c>
      <c r="G169" s="149">
        <f>-+C155</f>
        <v>470000</v>
      </c>
      <c r="H169" s="107"/>
      <c r="I169" s="107"/>
      <c r="J169" s="107"/>
      <c r="K169" s="107"/>
      <c r="L169" s="283" t="s">
        <v>161</v>
      </c>
      <c r="M169" s="284"/>
      <c r="N169" s="285"/>
    </row>
    <row r="170" spans="2:14" ht="16.5" thickBot="1" x14ac:dyDescent="0.3">
      <c r="B170" s="138" t="s">
        <v>99</v>
      </c>
      <c r="C170" s="144">
        <f>+G177</f>
        <v>0.11912</v>
      </c>
      <c r="D170" s="107"/>
      <c r="F170" s="159" t="s">
        <v>84</v>
      </c>
      <c r="G170" s="151">
        <f>+C162</f>
        <v>329000</v>
      </c>
      <c r="H170" s="107"/>
      <c r="I170" s="107"/>
      <c r="J170" s="107"/>
      <c r="K170" s="107"/>
      <c r="L170" s="286"/>
      <c r="M170" s="287"/>
      <c r="N170" s="288"/>
    </row>
    <row r="171" spans="2:14" ht="15.75" x14ac:dyDescent="0.25">
      <c r="B171" s="138" t="s">
        <v>67</v>
      </c>
      <c r="C171" s="256">
        <f>IRR(C165:N165, 17%)</f>
        <v>0.55295183461573694</v>
      </c>
      <c r="D171" s="107"/>
      <c r="F171" s="159" t="s">
        <v>85</v>
      </c>
      <c r="G171" s="151">
        <f>+G169-G170</f>
        <v>141000</v>
      </c>
      <c r="H171" s="107"/>
      <c r="I171" s="301" t="s">
        <v>162</v>
      </c>
      <c r="J171" s="302"/>
      <c r="K171" s="107"/>
      <c r="L171" s="286"/>
      <c r="M171" s="287"/>
      <c r="N171" s="288"/>
    </row>
    <row r="172" spans="2:14" ht="16.5" customHeight="1" thickBot="1" x14ac:dyDescent="0.3">
      <c r="B172" s="143" t="s">
        <v>60</v>
      </c>
      <c r="C172" s="146">
        <f>+-C155</f>
        <v>470000</v>
      </c>
      <c r="D172" s="107"/>
      <c r="F172" s="159" t="s">
        <v>93</v>
      </c>
      <c r="G172" s="152">
        <f>+G170/G169</f>
        <v>0.7</v>
      </c>
      <c r="H172" s="107"/>
      <c r="I172" s="303"/>
      <c r="J172" s="304"/>
      <c r="K172" s="107"/>
      <c r="L172" s="289"/>
      <c r="M172" s="290"/>
      <c r="N172" s="291"/>
    </row>
    <row r="173" spans="2:14" ht="15.75" x14ac:dyDescent="0.25">
      <c r="B173" s="138"/>
      <c r="C173" s="147"/>
      <c r="D173" s="107"/>
      <c r="F173" s="159" t="s">
        <v>94</v>
      </c>
      <c r="G173" s="152">
        <f>+G171/G169</f>
        <v>0.3</v>
      </c>
      <c r="H173" s="107"/>
      <c r="I173" s="303"/>
      <c r="J173" s="304"/>
      <c r="K173" s="107"/>
      <c r="L173" s="107"/>
      <c r="M173" s="107"/>
    </row>
    <row r="174" spans="2:14" ht="15.75" x14ac:dyDescent="0.25">
      <c r="B174" s="138" t="s">
        <v>102</v>
      </c>
      <c r="C174" s="257">
        <f>+C169/C172</f>
        <v>0.98615311139660511</v>
      </c>
      <c r="F174" s="159" t="s">
        <v>95</v>
      </c>
      <c r="G174" s="153">
        <v>0.11</v>
      </c>
      <c r="I174" s="303"/>
      <c r="J174" s="304"/>
    </row>
    <row r="175" spans="2:14" ht="15.75" x14ac:dyDescent="0.25">
      <c r="B175" s="138" t="s">
        <v>89</v>
      </c>
      <c r="C175" s="146">
        <f>NPV(C170,D161:M161)</f>
        <v>933491.9623564044</v>
      </c>
      <c r="D175" s="107"/>
      <c r="F175" s="159" t="s">
        <v>96</v>
      </c>
      <c r="G175" s="153">
        <v>0.18</v>
      </c>
      <c r="H175" s="107"/>
      <c r="I175" s="303"/>
      <c r="J175" s="304"/>
      <c r="K175" s="107"/>
      <c r="L175" s="107"/>
      <c r="M175" s="107"/>
    </row>
    <row r="176" spans="2:14" ht="15.75" thickBot="1" x14ac:dyDescent="0.3">
      <c r="B176" s="138"/>
      <c r="C176" s="146"/>
      <c r="D176" s="107"/>
      <c r="F176" s="211" t="s">
        <v>143</v>
      </c>
      <c r="G176" s="212">
        <v>0.22</v>
      </c>
      <c r="H176" s="107"/>
      <c r="I176" s="303"/>
      <c r="J176" s="304"/>
      <c r="K176" s="107"/>
      <c r="L176" s="107"/>
      <c r="M176" s="107"/>
    </row>
    <row r="177" spans="2:11" ht="16.5" thickBot="1" x14ac:dyDescent="0.3">
      <c r="B177" s="138" t="s">
        <v>90</v>
      </c>
      <c r="C177" s="146">
        <f>-C161</f>
        <v>470000</v>
      </c>
      <c r="F177" s="215" t="s">
        <v>100</v>
      </c>
      <c r="G177" s="254">
        <f>+(G172*G174)+(G173*G175)*(1-G176)</f>
        <v>0.11912</v>
      </c>
      <c r="H177" s="108"/>
      <c r="I177" s="305"/>
      <c r="J177" s="306"/>
    </row>
    <row r="178" spans="2:11" ht="15.75" thickBot="1" x14ac:dyDescent="0.3">
      <c r="B178" s="139" t="s">
        <v>103</v>
      </c>
      <c r="C178" s="258">
        <f>+C175/C177</f>
        <v>1.9861531113966051</v>
      </c>
      <c r="F178" s="213"/>
      <c r="G178" s="214"/>
      <c r="H178" s="108"/>
      <c r="K178" s="108"/>
    </row>
    <row r="179" spans="2:11" ht="15.75" thickBot="1" x14ac:dyDescent="0.3">
      <c r="B179" s="136"/>
      <c r="F179" s="155"/>
      <c r="G179" s="156"/>
      <c r="H179" s="108"/>
      <c r="K179" s="108"/>
    </row>
    <row r="180" spans="2:11" ht="15.75" thickBot="1" x14ac:dyDescent="0.3">
      <c r="B180" s="136"/>
      <c r="F180" s="125"/>
    </row>
    <row r="181" spans="2:11" x14ac:dyDescent="0.25">
      <c r="B181" s="292" t="s">
        <v>163</v>
      </c>
      <c r="C181" s="293"/>
      <c r="D181" s="293"/>
      <c r="E181" s="294"/>
      <c r="F181" s="124"/>
    </row>
    <row r="182" spans="2:11" x14ac:dyDescent="0.25">
      <c r="B182" s="295"/>
      <c r="C182" s="296"/>
      <c r="D182" s="296"/>
      <c r="E182" s="297"/>
      <c r="F182" s="124"/>
    </row>
    <row r="183" spans="2:11" x14ac:dyDescent="0.25">
      <c r="B183" s="295"/>
      <c r="C183" s="296"/>
      <c r="D183" s="296"/>
      <c r="E183" s="297"/>
      <c r="F183" s="126"/>
    </row>
    <row r="184" spans="2:11" ht="15.75" thickBot="1" x14ac:dyDescent="0.3">
      <c r="B184" s="298"/>
      <c r="C184" s="299"/>
      <c r="D184" s="299"/>
      <c r="E184" s="300"/>
      <c r="F184" s="124"/>
    </row>
    <row r="185" spans="2:11" x14ac:dyDescent="0.25">
      <c r="F185" s="126"/>
    </row>
    <row r="187" spans="2:11" ht="20.25" customHeight="1" x14ac:dyDescent="0.25">
      <c r="B187" s="307" t="s">
        <v>166</v>
      </c>
      <c r="C187" s="307"/>
      <c r="D187" s="307"/>
      <c r="E187" s="307"/>
      <c r="F187" s="307"/>
    </row>
    <row r="188" spans="2:11" ht="20.25" customHeight="1" x14ac:dyDescent="0.25">
      <c r="B188" s="307"/>
      <c r="C188" s="307"/>
      <c r="D188" s="307"/>
      <c r="E188" s="307"/>
      <c r="F188" s="307"/>
    </row>
  </sheetData>
  <mergeCells count="28">
    <mergeCell ref="A70:A73"/>
    <mergeCell ref="B70:C70"/>
    <mergeCell ref="B24:D24"/>
    <mergeCell ref="A25:A31"/>
    <mergeCell ref="A37:A40"/>
    <mergeCell ref="A47:A52"/>
    <mergeCell ref="A61:A66"/>
    <mergeCell ref="H126:L128"/>
    <mergeCell ref="O98:R98"/>
    <mergeCell ref="B4:H22"/>
    <mergeCell ref="F38:J41"/>
    <mergeCell ref="F55:J58"/>
    <mergeCell ref="I63:M66"/>
    <mergeCell ref="H71:L73"/>
    <mergeCell ref="N79:R82"/>
    <mergeCell ref="F61:G61"/>
    <mergeCell ref="F25:J27"/>
    <mergeCell ref="B34:C34"/>
    <mergeCell ref="K100:M103"/>
    <mergeCell ref="E103:H106"/>
    <mergeCell ref="E116:H118"/>
    <mergeCell ref="A76:A88"/>
    <mergeCell ref="A91:A98"/>
    <mergeCell ref="N143:R147"/>
    <mergeCell ref="L169:N172"/>
    <mergeCell ref="B181:E184"/>
    <mergeCell ref="I171:J177"/>
    <mergeCell ref="B187:F188"/>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M103"/>
  <sheetViews>
    <sheetView zoomScale="85" zoomScaleNormal="85" workbookViewId="0">
      <selection activeCell="K92" sqref="K92"/>
    </sheetView>
  </sheetViews>
  <sheetFormatPr baseColWidth="10" defaultRowHeight="15" x14ac:dyDescent="0.25"/>
  <cols>
    <col min="1" max="1" width="44.28515625" customWidth="1"/>
    <col min="2" max="2" width="16" customWidth="1"/>
    <col min="3" max="3" width="12.42578125" customWidth="1"/>
    <col min="4" max="4" width="12.85546875" customWidth="1"/>
    <col min="5" max="5" width="18.5703125" customWidth="1"/>
    <col min="6" max="6" width="12.7109375" customWidth="1"/>
    <col min="7" max="7" width="12.28515625" customWidth="1"/>
    <col min="8" max="8" width="20" customWidth="1"/>
    <col min="9" max="9" width="12.85546875" customWidth="1"/>
    <col min="10" max="10" width="13.7109375" customWidth="1"/>
    <col min="11" max="11" width="12.42578125" customWidth="1"/>
  </cols>
  <sheetData>
    <row r="4" spans="1:13" ht="18.75" thickBot="1" x14ac:dyDescent="0.3">
      <c r="A4" s="3" t="s">
        <v>69</v>
      </c>
      <c r="B4" s="11"/>
      <c r="C4" s="11"/>
      <c r="D4" s="11"/>
      <c r="E4" s="11"/>
      <c r="F4" s="11"/>
      <c r="G4" s="11"/>
      <c r="H4" s="11"/>
      <c r="I4" s="11"/>
      <c r="J4" s="11"/>
      <c r="K4" s="11"/>
      <c r="L4" s="11"/>
      <c r="M4" s="12"/>
    </row>
    <row r="5" spans="1:13" x14ac:dyDescent="0.25">
      <c r="A5" s="83" t="s">
        <v>70</v>
      </c>
      <c r="B5" s="84">
        <f>(1+B72)*(470000)</f>
        <v>470000</v>
      </c>
      <c r="C5" s="11"/>
      <c r="D5" s="11"/>
      <c r="E5" s="11"/>
      <c r="F5" s="11"/>
      <c r="G5" s="11"/>
      <c r="H5" s="11"/>
      <c r="I5" s="11"/>
      <c r="J5" s="11"/>
      <c r="K5" s="11"/>
      <c r="L5" s="11"/>
      <c r="M5" s="12"/>
    </row>
    <row r="6" spans="1:13" x14ac:dyDescent="0.25">
      <c r="A6" s="85" t="s">
        <v>71</v>
      </c>
      <c r="B6" s="86">
        <v>330000</v>
      </c>
      <c r="C6" s="11"/>
      <c r="D6" s="11"/>
      <c r="E6" s="11"/>
      <c r="F6" s="11"/>
      <c r="G6" s="11"/>
      <c r="H6" s="11"/>
      <c r="I6" s="11"/>
      <c r="J6" s="11"/>
      <c r="K6" s="11"/>
      <c r="L6" s="11"/>
      <c r="M6" s="12"/>
    </row>
    <row r="7" spans="1:13" x14ac:dyDescent="0.25">
      <c r="A7" s="85" t="s">
        <v>72</v>
      </c>
      <c r="B7" s="87">
        <f>(1+B76)*11%</f>
        <v>0.11</v>
      </c>
      <c r="C7" s="11"/>
      <c r="D7" s="11"/>
      <c r="E7" s="11"/>
      <c r="F7" s="11"/>
      <c r="G7" s="11"/>
      <c r="H7" s="11"/>
      <c r="I7" s="11"/>
      <c r="J7" s="11"/>
      <c r="K7" s="11"/>
      <c r="L7" s="11"/>
      <c r="M7" s="12"/>
    </row>
    <row r="8" spans="1:13" x14ac:dyDescent="0.25">
      <c r="A8" s="85" t="s">
        <v>73</v>
      </c>
      <c r="B8" s="88">
        <v>10</v>
      </c>
      <c r="C8" s="11"/>
      <c r="D8" s="11"/>
      <c r="E8" s="11"/>
      <c r="F8" s="11"/>
      <c r="G8" s="11"/>
      <c r="H8" s="11"/>
      <c r="I8" s="11"/>
      <c r="J8" s="11"/>
      <c r="K8" s="11"/>
      <c r="L8" s="11"/>
      <c r="M8" s="12"/>
    </row>
    <row r="9" spans="1:13" ht="15.75" thickBot="1" x14ac:dyDescent="0.3">
      <c r="A9" s="89" t="s">
        <v>74</v>
      </c>
      <c r="B9" s="90">
        <f>PMT(B7,B8,B6)</f>
        <v>-56034.470942171807</v>
      </c>
      <c r="C9" s="11"/>
      <c r="D9" s="11"/>
      <c r="E9" s="11"/>
      <c r="F9" s="11"/>
      <c r="G9" s="11"/>
      <c r="H9" s="11"/>
      <c r="I9" s="11"/>
      <c r="J9" s="11"/>
      <c r="K9" s="11"/>
      <c r="L9" s="11"/>
      <c r="M9" s="12"/>
    </row>
    <row r="10" spans="1:13" x14ac:dyDescent="0.25">
      <c r="A10" s="12"/>
      <c r="B10" s="11"/>
      <c r="C10" s="11"/>
      <c r="D10" s="11"/>
      <c r="E10" s="11"/>
      <c r="F10" s="11"/>
      <c r="G10" s="11"/>
      <c r="H10" s="11"/>
      <c r="I10" s="11"/>
      <c r="J10" s="11"/>
      <c r="K10" s="11"/>
      <c r="L10" s="11"/>
      <c r="M10" s="12"/>
    </row>
    <row r="11" spans="1:13" ht="18.75" thickBot="1" x14ac:dyDescent="0.3">
      <c r="A11" s="3" t="s">
        <v>75</v>
      </c>
      <c r="B11" s="11"/>
      <c r="C11" s="11"/>
      <c r="D11" s="11"/>
      <c r="E11" s="11"/>
      <c r="F11" s="11"/>
      <c r="G11" s="11"/>
      <c r="H11" s="11"/>
      <c r="I11" s="11"/>
      <c r="J11" s="11"/>
      <c r="K11" s="11"/>
      <c r="L11" s="11"/>
      <c r="M11" s="12"/>
    </row>
    <row r="12" spans="1:13" ht="31.5" x14ac:dyDescent="0.25">
      <c r="A12" s="91" t="s">
        <v>20</v>
      </c>
      <c r="B12" s="92" t="s">
        <v>76</v>
      </c>
      <c r="C12" s="123" t="s">
        <v>77</v>
      </c>
      <c r="D12" s="123" t="s">
        <v>78</v>
      </c>
      <c r="E12" s="93" t="s">
        <v>79</v>
      </c>
      <c r="F12" s="11"/>
      <c r="G12" s="11"/>
      <c r="H12" s="11"/>
      <c r="I12" s="11"/>
      <c r="J12" s="11"/>
      <c r="K12" s="94"/>
      <c r="L12" s="11"/>
      <c r="M12" s="12"/>
    </row>
    <row r="13" spans="1:13" ht="15.75" x14ac:dyDescent="0.25">
      <c r="A13" s="95">
        <v>1</v>
      </c>
      <c r="B13" s="96">
        <v>330000</v>
      </c>
      <c r="C13" s="97">
        <f>-B$9</f>
        <v>56034.470942171807</v>
      </c>
      <c r="D13" s="98">
        <f>B13*B$7</f>
        <v>36300</v>
      </c>
      <c r="E13" s="99">
        <f>C13-D13</f>
        <v>19734.470942171807</v>
      </c>
      <c r="F13" s="11"/>
      <c r="G13" s="11"/>
      <c r="H13" s="11"/>
      <c r="I13" s="11"/>
      <c r="J13" s="11"/>
      <c r="K13" s="11"/>
      <c r="L13" s="11"/>
      <c r="M13" s="12"/>
    </row>
    <row r="14" spans="1:13" ht="15.75" x14ac:dyDescent="0.25">
      <c r="A14" s="95">
        <v>2</v>
      </c>
      <c r="B14" s="97">
        <f>B13-E13</f>
        <v>310265.52905782819</v>
      </c>
      <c r="C14" s="97">
        <f t="shared" ref="C14:C22" si="0">-B$9</f>
        <v>56034.470942171807</v>
      </c>
      <c r="D14" s="98">
        <f t="shared" ref="D14:D22" si="1">B14*B$7</f>
        <v>34129.208196361098</v>
      </c>
      <c r="E14" s="99">
        <f t="shared" ref="E14:E22" si="2">C14-D14</f>
        <v>21905.262745810709</v>
      </c>
      <c r="F14" s="11"/>
      <c r="G14" s="11"/>
      <c r="H14" s="11"/>
      <c r="I14" s="11"/>
      <c r="J14" s="11"/>
      <c r="K14" s="100"/>
      <c r="L14" s="11"/>
      <c r="M14" s="12"/>
    </row>
    <row r="15" spans="1:13" ht="15.75" x14ac:dyDescent="0.25">
      <c r="A15" s="95">
        <v>3</v>
      </c>
      <c r="B15" s="97">
        <f t="shared" ref="B15:B22" si="3">B14-E14</f>
        <v>288360.26631201745</v>
      </c>
      <c r="C15" s="97">
        <f t="shared" si="0"/>
        <v>56034.470942171807</v>
      </c>
      <c r="D15" s="98">
        <f t="shared" si="1"/>
        <v>31719.62929432192</v>
      </c>
      <c r="E15" s="99">
        <f t="shared" si="2"/>
        <v>24314.841647849888</v>
      </c>
      <c r="F15" s="11"/>
      <c r="G15" s="11"/>
      <c r="H15" s="11"/>
      <c r="I15" s="11"/>
      <c r="J15" s="11"/>
      <c r="K15" s="11"/>
      <c r="L15" s="11"/>
      <c r="M15" s="12"/>
    </row>
    <row r="16" spans="1:13" ht="15.75" x14ac:dyDescent="0.25">
      <c r="A16" s="95">
        <v>4</v>
      </c>
      <c r="B16" s="97">
        <f t="shared" si="3"/>
        <v>264045.42466416757</v>
      </c>
      <c r="C16" s="97">
        <f t="shared" si="0"/>
        <v>56034.470942171807</v>
      </c>
      <c r="D16" s="98">
        <f t="shared" si="1"/>
        <v>29044.996713058434</v>
      </c>
      <c r="E16" s="99">
        <f t="shared" si="2"/>
        <v>26989.474229113373</v>
      </c>
      <c r="F16" s="11"/>
      <c r="G16" s="11"/>
      <c r="H16" s="11"/>
      <c r="I16" s="11"/>
      <c r="J16" s="11"/>
      <c r="K16" s="11"/>
      <c r="L16" s="11"/>
      <c r="M16" s="12"/>
    </row>
    <row r="17" spans="1:13" ht="15.75" x14ac:dyDescent="0.25">
      <c r="A17" s="95">
        <v>5</v>
      </c>
      <c r="B17" s="97">
        <f t="shared" si="3"/>
        <v>237055.9504350542</v>
      </c>
      <c r="C17" s="97">
        <f t="shared" si="0"/>
        <v>56034.470942171807</v>
      </c>
      <c r="D17" s="98">
        <f t="shared" si="1"/>
        <v>26076.15454785596</v>
      </c>
      <c r="E17" s="99">
        <f t="shared" si="2"/>
        <v>29958.316394315847</v>
      </c>
      <c r="F17" s="11"/>
      <c r="G17" s="11"/>
      <c r="H17" s="11"/>
      <c r="I17" s="11"/>
      <c r="J17" s="11"/>
      <c r="K17" s="101"/>
      <c r="L17" s="11"/>
      <c r="M17" s="12"/>
    </row>
    <row r="18" spans="1:13" ht="15.75" x14ac:dyDescent="0.25">
      <c r="A18" s="95">
        <v>6</v>
      </c>
      <c r="B18" s="97">
        <f t="shared" si="3"/>
        <v>207097.63404073834</v>
      </c>
      <c r="C18" s="97">
        <f t="shared" si="0"/>
        <v>56034.470942171807</v>
      </c>
      <c r="D18" s="98">
        <f t="shared" si="1"/>
        <v>22780.739744481216</v>
      </c>
      <c r="E18" s="99">
        <f t="shared" si="2"/>
        <v>33253.731197690591</v>
      </c>
      <c r="F18" s="11"/>
      <c r="G18" s="11"/>
      <c r="H18" s="11"/>
      <c r="I18" s="11"/>
      <c r="J18" s="11"/>
      <c r="K18" s="102"/>
      <c r="L18" s="11"/>
      <c r="M18" s="12"/>
    </row>
    <row r="19" spans="1:13" ht="15.75" x14ac:dyDescent="0.25">
      <c r="A19" s="95">
        <v>7</v>
      </c>
      <c r="B19" s="97">
        <f t="shared" si="3"/>
        <v>173843.90284304775</v>
      </c>
      <c r="C19" s="97">
        <f t="shared" si="0"/>
        <v>56034.470942171807</v>
      </c>
      <c r="D19" s="98">
        <f t="shared" si="1"/>
        <v>19122.829312735252</v>
      </c>
      <c r="E19" s="99">
        <f t="shared" si="2"/>
        <v>36911.641629436555</v>
      </c>
    </row>
    <row r="20" spans="1:13" ht="15.75" x14ac:dyDescent="0.25">
      <c r="A20" s="95">
        <v>8</v>
      </c>
      <c r="B20" s="97">
        <f t="shared" si="3"/>
        <v>136932.2612136112</v>
      </c>
      <c r="C20" s="97">
        <f t="shared" si="0"/>
        <v>56034.470942171807</v>
      </c>
      <c r="D20" s="98">
        <f t="shared" si="1"/>
        <v>15062.548733497231</v>
      </c>
      <c r="E20" s="99">
        <f t="shared" si="2"/>
        <v>40971.922208674572</v>
      </c>
    </row>
    <row r="21" spans="1:13" ht="15.75" x14ac:dyDescent="0.25">
      <c r="A21" s="95">
        <v>9</v>
      </c>
      <c r="B21" s="97">
        <f t="shared" si="3"/>
        <v>95960.339004936628</v>
      </c>
      <c r="C21" s="97">
        <f t="shared" si="0"/>
        <v>56034.470942171807</v>
      </c>
      <c r="D21" s="98">
        <f t="shared" si="1"/>
        <v>10555.637290543029</v>
      </c>
      <c r="E21" s="99">
        <f t="shared" si="2"/>
        <v>45478.833651628782</v>
      </c>
    </row>
    <row r="22" spans="1:13" ht="15.75" x14ac:dyDescent="0.25">
      <c r="A22" s="95">
        <v>10</v>
      </c>
      <c r="B22" s="97">
        <f t="shared" si="3"/>
        <v>50481.505353307846</v>
      </c>
      <c r="C22" s="97">
        <f t="shared" si="0"/>
        <v>56034.470942171807</v>
      </c>
      <c r="D22" s="98">
        <f t="shared" si="1"/>
        <v>5552.9655888638636</v>
      </c>
      <c r="E22" s="99">
        <f t="shared" si="2"/>
        <v>50481.505353307941</v>
      </c>
    </row>
    <row r="23" spans="1:13" x14ac:dyDescent="0.25">
      <c r="A23" s="103"/>
    </row>
    <row r="26" spans="1:13" ht="21.75" thickBot="1" x14ac:dyDescent="0.4">
      <c r="A26" s="104" t="s">
        <v>80</v>
      </c>
    </row>
    <row r="27" spans="1:13" x14ac:dyDescent="0.25">
      <c r="A27" s="52" t="s">
        <v>45</v>
      </c>
      <c r="B27" s="53">
        <v>1</v>
      </c>
      <c r="C27" s="53">
        <v>2</v>
      </c>
      <c r="D27" s="53">
        <v>3</v>
      </c>
      <c r="E27" s="53">
        <v>4</v>
      </c>
      <c r="F27" s="53">
        <v>5</v>
      </c>
      <c r="G27" s="53">
        <v>6</v>
      </c>
      <c r="H27" s="53">
        <v>7</v>
      </c>
      <c r="I27" s="53">
        <v>8</v>
      </c>
      <c r="J27" s="53">
        <v>9</v>
      </c>
      <c r="K27" s="54">
        <v>10</v>
      </c>
      <c r="L27" s="30"/>
      <c r="M27" s="12"/>
    </row>
    <row r="28" spans="1:13" x14ac:dyDescent="0.25">
      <c r="A28" s="24" t="s">
        <v>46</v>
      </c>
      <c r="B28" s="41">
        <v>240000</v>
      </c>
      <c r="C28" s="41">
        <v>320000</v>
      </c>
      <c r="D28" s="41">
        <v>400000</v>
      </c>
      <c r="E28" s="41">
        <v>400000</v>
      </c>
      <c r="F28" s="41">
        <v>400000</v>
      </c>
      <c r="G28" s="41">
        <v>400000</v>
      </c>
      <c r="H28" s="41">
        <v>400000</v>
      </c>
      <c r="I28" s="41">
        <v>400000</v>
      </c>
      <c r="J28" s="41">
        <v>400000</v>
      </c>
      <c r="K28" s="41">
        <v>400000</v>
      </c>
      <c r="L28" s="45"/>
      <c r="M28" s="12"/>
    </row>
    <row r="29" spans="1:13" x14ac:dyDescent="0.25">
      <c r="A29" s="24" t="s">
        <v>47</v>
      </c>
      <c r="B29" s="41">
        <v>26400</v>
      </c>
      <c r="C29" s="41">
        <v>95582.431381625312</v>
      </c>
      <c r="D29" s="41">
        <v>119478.03922703164</v>
      </c>
      <c r="E29" s="41">
        <v>119478.03922703164</v>
      </c>
      <c r="F29" s="41">
        <v>119478.03922703164</v>
      </c>
      <c r="G29" s="41">
        <v>119478.03922703164</v>
      </c>
      <c r="H29" s="41">
        <v>119478.03922703164</v>
      </c>
      <c r="I29" s="41">
        <v>119478.03922703164</v>
      </c>
      <c r="J29" s="41">
        <v>119478.03922703164</v>
      </c>
      <c r="K29" s="41">
        <v>119478.03922703164</v>
      </c>
      <c r="L29" s="45"/>
      <c r="M29" s="12"/>
    </row>
    <row r="30" spans="1:13" x14ac:dyDescent="0.25">
      <c r="A30" s="24" t="s">
        <v>48</v>
      </c>
      <c r="B30" s="41">
        <v>11000</v>
      </c>
      <c r="C30" s="41">
        <v>13200</v>
      </c>
      <c r="D30" s="41">
        <v>15400</v>
      </c>
      <c r="E30" s="41">
        <v>15400</v>
      </c>
      <c r="F30" s="41">
        <v>15400</v>
      </c>
      <c r="G30" s="41">
        <v>15400</v>
      </c>
      <c r="H30" s="41">
        <v>15400</v>
      </c>
      <c r="I30" s="41">
        <v>15400</v>
      </c>
      <c r="J30" s="41">
        <v>15400</v>
      </c>
      <c r="K30" s="41">
        <v>15400</v>
      </c>
      <c r="L30" s="45"/>
      <c r="M30" s="12"/>
    </row>
    <row r="31" spans="1:13" x14ac:dyDescent="0.25">
      <c r="A31" s="24" t="s">
        <v>49</v>
      </c>
      <c r="B31" s="41">
        <v>4800</v>
      </c>
      <c r="C31" s="41">
        <v>6400</v>
      </c>
      <c r="D31" s="41">
        <v>8000</v>
      </c>
      <c r="E31" s="41">
        <v>8000</v>
      </c>
      <c r="F31" s="41">
        <v>8000</v>
      </c>
      <c r="G31" s="41">
        <v>8000</v>
      </c>
      <c r="H31" s="41">
        <v>8000</v>
      </c>
      <c r="I31" s="41">
        <v>8000</v>
      </c>
      <c r="J31" s="41">
        <v>8000</v>
      </c>
      <c r="K31" s="41">
        <v>8000</v>
      </c>
      <c r="L31" s="45"/>
      <c r="M31" s="12"/>
    </row>
    <row r="32" spans="1:13" x14ac:dyDescent="0.25">
      <c r="A32" s="55" t="s">
        <v>50</v>
      </c>
      <c r="B32" s="56">
        <f>(1+B73)*(+B28-(B29-B30+B31))</f>
        <v>219800</v>
      </c>
      <c r="C32" s="56">
        <f t="shared" ref="C32:K32" si="4">(1+C73)*(+C28-(C29-C30+C31))</f>
        <v>231217.5686183747</v>
      </c>
      <c r="D32" s="56">
        <f t="shared" si="4"/>
        <v>287921.96077296836</v>
      </c>
      <c r="E32" s="56">
        <f t="shared" si="4"/>
        <v>287921.96077296836</v>
      </c>
      <c r="F32" s="56">
        <f t="shared" si="4"/>
        <v>287921.96077296836</v>
      </c>
      <c r="G32" s="56">
        <f t="shared" si="4"/>
        <v>287921.96077296836</v>
      </c>
      <c r="H32" s="56">
        <f t="shared" si="4"/>
        <v>287921.96077296836</v>
      </c>
      <c r="I32" s="56">
        <f t="shared" si="4"/>
        <v>287921.96077296836</v>
      </c>
      <c r="J32" s="56">
        <f t="shared" si="4"/>
        <v>287921.96077296836</v>
      </c>
      <c r="K32" s="56">
        <f t="shared" si="4"/>
        <v>287921.96077296836</v>
      </c>
      <c r="L32" s="57"/>
      <c r="M32" s="58"/>
    </row>
    <row r="33" spans="1:13" x14ac:dyDescent="0.25">
      <c r="A33" s="55" t="s">
        <v>51</v>
      </c>
      <c r="B33" s="56">
        <f>B34+B35</f>
        <v>100000</v>
      </c>
      <c r="C33" s="56">
        <f t="shared" ref="C33:K33" si="5">C34+C35</f>
        <v>120000</v>
      </c>
      <c r="D33" s="56">
        <f t="shared" si="5"/>
        <v>140000</v>
      </c>
      <c r="E33" s="56">
        <f t="shared" si="5"/>
        <v>140000</v>
      </c>
      <c r="F33" s="56">
        <f t="shared" si="5"/>
        <v>140000</v>
      </c>
      <c r="G33" s="56">
        <f t="shared" si="5"/>
        <v>140000</v>
      </c>
      <c r="H33" s="56">
        <f t="shared" si="5"/>
        <v>140000</v>
      </c>
      <c r="I33" s="56">
        <f t="shared" si="5"/>
        <v>140000</v>
      </c>
      <c r="J33" s="56">
        <f t="shared" si="5"/>
        <v>140000</v>
      </c>
      <c r="K33" s="56">
        <f t="shared" si="5"/>
        <v>140000</v>
      </c>
      <c r="L33" s="57"/>
      <c r="M33" s="12"/>
    </row>
    <row r="34" spans="1:13" x14ac:dyDescent="0.25">
      <c r="A34" s="24" t="s">
        <v>52</v>
      </c>
      <c r="B34" s="41">
        <f>(1+B74)*60000</f>
        <v>60000</v>
      </c>
      <c r="C34" s="41">
        <f>(1+B74)*80000</f>
        <v>80000</v>
      </c>
      <c r="D34" s="41">
        <f>(1+B74)*100000</f>
        <v>100000</v>
      </c>
      <c r="E34" s="41">
        <f t="shared" ref="E34:K34" si="6">(1+C74)*100000</f>
        <v>100000</v>
      </c>
      <c r="F34" s="41">
        <f t="shared" si="6"/>
        <v>100000</v>
      </c>
      <c r="G34" s="41">
        <f t="shared" si="6"/>
        <v>100000</v>
      </c>
      <c r="H34" s="41">
        <f t="shared" si="6"/>
        <v>100000</v>
      </c>
      <c r="I34" s="41">
        <f t="shared" si="6"/>
        <v>100000</v>
      </c>
      <c r="J34" s="41">
        <f t="shared" si="6"/>
        <v>100000</v>
      </c>
      <c r="K34" s="41">
        <f t="shared" si="6"/>
        <v>100000</v>
      </c>
      <c r="L34" s="45"/>
      <c r="M34" s="12"/>
    </row>
    <row r="35" spans="1:13" x14ac:dyDescent="0.25">
      <c r="A35" s="24" t="s">
        <v>53</v>
      </c>
      <c r="B35" s="41">
        <f>(1+B75)*40000</f>
        <v>40000</v>
      </c>
      <c r="C35" s="41">
        <f t="shared" ref="C35:K35" si="7">(1+C75)*40000</f>
        <v>40000</v>
      </c>
      <c r="D35" s="41">
        <f t="shared" si="7"/>
        <v>40000</v>
      </c>
      <c r="E35" s="41">
        <f t="shared" si="7"/>
        <v>40000</v>
      </c>
      <c r="F35" s="41">
        <f t="shared" si="7"/>
        <v>40000</v>
      </c>
      <c r="G35" s="41">
        <f t="shared" si="7"/>
        <v>40000</v>
      </c>
      <c r="H35" s="41">
        <f t="shared" si="7"/>
        <v>40000</v>
      </c>
      <c r="I35" s="41">
        <f t="shared" si="7"/>
        <v>40000</v>
      </c>
      <c r="J35" s="41">
        <f t="shared" si="7"/>
        <v>40000</v>
      </c>
      <c r="K35" s="41">
        <f t="shared" si="7"/>
        <v>40000</v>
      </c>
      <c r="L35" s="45"/>
      <c r="M35" s="12"/>
    </row>
    <row r="36" spans="1:13" x14ac:dyDescent="0.25">
      <c r="A36" s="55" t="s">
        <v>54</v>
      </c>
      <c r="B36" s="56">
        <f>B37+B38</f>
        <v>83900</v>
      </c>
      <c r="C36" s="56">
        <f t="shared" ref="C36:K36" si="8">C37+C38</f>
        <v>81747.886353341819</v>
      </c>
      <c r="D36" s="56">
        <f t="shared" si="8"/>
        <v>79359.040205551253</v>
      </c>
      <c r="E36" s="56">
        <f t="shared" si="8"/>
        <v>76707.420981503703</v>
      </c>
      <c r="F36" s="56">
        <f t="shared" si="8"/>
        <v>73764.123642810941</v>
      </c>
      <c r="G36" s="56">
        <f t="shared" si="8"/>
        <v>70497.063596861961</v>
      </c>
      <c r="H36" s="56">
        <f t="shared" si="8"/>
        <v>66870.626945858618</v>
      </c>
      <c r="I36" s="56">
        <f t="shared" si="8"/>
        <v>62845.282263244881</v>
      </c>
      <c r="J36" s="56">
        <f t="shared" si="8"/>
        <v>58377.149665543642</v>
      </c>
      <c r="K36" s="56">
        <f t="shared" si="8"/>
        <v>53417.522482095272</v>
      </c>
      <c r="L36" s="57"/>
      <c r="M36" s="12"/>
    </row>
    <row r="37" spans="1:13" x14ac:dyDescent="0.25">
      <c r="A37" s="24" t="s">
        <v>55</v>
      </c>
      <c r="B37" s="41">
        <v>47600</v>
      </c>
      <c r="C37" s="41">
        <v>47600</v>
      </c>
      <c r="D37" s="41">
        <v>47600</v>
      </c>
      <c r="E37" s="41">
        <v>47600</v>
      </c>
      <c r="F37" s="41">
        <v>47600</v>
      </c>
      <c r="G37" s="41">
        <v>47600</v>
      </c>
      <c r="H37" s="41">
        <v>47600</v>
      </c>
      <c r="I37" s="41">
        <v>47600</v>
      </c>
      <c r="J37" s="41">
        <v>47600</v>
      </c>
      <c r="K37" s="41">
        <v>47600</v>
      </c>
      <c r="L37" s="45"/>
      <c r="M37" s="12"/>
    </row>
    <row r="38" spans="1:13" x14ac:dyDescent="0.25">
      <c r="A38" s="24" t="s">
        <v>81</v>
      </c>
      <c r="B38" s="41">
        <f>'Flujo '!C149</f>
        <v>36300</v>
      </c>
      <c r="C38" s="41">
        <f>'Flujo '!D149</f>
        <v>34147.886353341819</v>
      </c>
      <c r="D38" s="41">
        <f>'Flujo '!E149</f>
        <v>31759.04020555125</v>
      </c>
      <c r="E38" s="41">
        <f>'Flujo '!F149</f>
        <v>29107.420981503707</v>
      </c>
      <c r="F38" s="41">
        <f>'Flujo '!G149</f>
        <v>26164.123642810941</v>
      </c>
      <c r="G38" s="41">
        <f>'Flujo '!H149</f>
        <v>22897.063596861968</v>
      </c>
      <c r="H38" s="41">
        <f>'Flujo '!I149</f>
        <v>19270.62694585861</v>
      </c>
      <c r="I38" s="41">
        <f>'Flujo '!J149</f>
        <v>15245.282263244882</v>
      </c>
      <c r="J38" s="41">
        <f>'Flujo '!K149</f>
        <v>10777.149665543644</v>
      </c>
      <c r="K38" s="41">
        <f>'Flujo '!L149</f>
        <v>5817.5224820952699</v>
      </c>
      <c r="L38" s="45"/>
      <c r="M38" s="12"/>
    </row>
    <row r="39" spans="1:13" x14ac:dyDescent="0.25">
      <c r="A39" s="55" t="s">
        <v>56</v>
      </c>
      <c r="B39" s="56">
        <f>B32-B33-B36</f>
        <v>35900</v>
      </c>
      <c r="C39" s="56">
        <f>'Flujo '!D150</f>
        <v>96372.113646658181</v>
      </c>
      <c r="D39" s="56">
        <f>'Flujo '!E150</f>
        <v>149460.95979444875</v>
      </c>
      <c r="E39" s="56">
        <f>'Flujo '!F150</f>
        <v>152112.5790184963</v>
      </c>
      <c r="F39" s="56">
        <f>'Flujo '!G150</f>
        <v>155055.87635718906</v>
      </c>
      <c r="G39" s="56">
        <f>'Flujo '!H150</f>
        <v>158322.93640313804</v>
      </c>
      <c r="H39" s="56">
        <f>'Flujo '!I150</f>
        <v>161949.37305414138</v>
      </c>
      <c r="I39" s="56">
        <f>'Flujo '!J150</f>
        <v>165974.71773675512</v>
      </c>
      <c r="J39" s="56">
        <f>'Flujo '!K150</f>
        <v>170442.85033445637</v>
      </c>
      <c r="K39" s="56">
        <f>'Flujo '!L150</f>
        <v>175402.47751790471</v>
      </c>
      <c r="L39" s="45"/>
      <c r="M39" s="12"/>
    </row>
    <row r="40" spans="1:13" x14ac:dyDescent="0.25">
      <c r="A40" s="24" t="s">
        <v>57</v>
      </c>
      <c r="B40" s="41">
        <f>0.22*B39</f>
        <v>7898</v>
      </c>
      <c r="C40" s="41">
        <f>'Flujo '!D151</f>
        <v>21201.8650022648</v>
      </c>
      <c r="D40" s="41">
        <f>'Flujo '!E151</f>
        <v>32881.411154778725</v>
      </c>
      <c r="E40" s="41">
        <f>'Flujo '!F151</f>
        <v>33464.767384069186</v>
      </c>
      <c r="F40" s="41">
        <f>'Flujo '!G151</f>
        <v>34112.292798581591</v>
      </c>
      <c r="G40" s="41">
        <f>'Flujo '!H151</f>
        <v>34831.046008690369</v>
      </c>
      <c r="H40" s="41">
        <f>'Flujo '!I151</f>
        <v>35628.862071911106</v>
      </c>
      <c r="I40" s="41">
        <f>'Flujo '!J151</f>
        <v>36514.437902086123</v>
      </c>
      <c r="J40" s="41">
        <f>'Flujo '!K151</f>
        <v>37497.427073580402</v>
      </c>
      <c r="K40" s="41">
        <f>'Flujo '!L151</f>
        <v>38588.545053939037</v>
      </c>
      <c r="L40" s="57"/>
      <c r="M40" s="12"/>
    </row>
    <row r="41" spans="1:13" ht="15.75" thickBot="1" x14ac:dyDescent="0.3">
      <c r="A41" s="60" t="s">
        <v>58</v>
      </c>
      <c r="B41" s="56">
        <f>B39-B40</f>
        <v>28002</v>
      </c>
      <c r="C41" s="56" t="e">
        <f>'Flujo '!#REF!</f>
        <v>#REF!</v>
      </c>
      <c r="D41" s="56" t="e">
        <f>'Flujo '!#REF!</f>
        <v>#REF!</v>
      </c>
      <c r="E41" s="56" t="e">
        <f>'Flujo '!#REF!</f>
        <v>#REF!</v>
      </c>
      <c r="F41" s="56" t="e">
        <f>'Flujo '!#REF!</f>
        <v>#REF!</v>
      </c>
      <c r="G41" s="56" t="e">
        <f>'Flujo '!#REF!</f>
        <v>#REF!</v>
      </c>
      <c r="H41" s="56" t="e">
        <f>'Flujo '!#REF!</f>
        <v>#REF!</v>
      </c>
      <c r="I41" s="56" t="e">
        <f>'Flujo '!#REF!</f>
        <v>#REF!</v>
      </c>
      <c r="J41" s="56" t="e">
        <f>'Flujo '!#REF!</f>
        <v>#REF!</v>
      </c>
      <c r="K41" s="56" t="e">
        <f>'Flujo '!#REF!</f>
        <v>#REF!</v>
      </c>
      <c r="L41" s="11"/>
      <c r="M41" s="12"/>
    </row>
    <row r="42" spans="1:13" x14ac:dyDescent="0.25">
      <c r="A42" s="12"/>
      <c r="B42" s="11"/>
      <c r="C42" s="11"/>
      <c r="D42" s="11"/>
      <c r="E42" s="11"/>
      <c r="F42" s="11"/>
      <c r="G42" s="11"/>
      <c r="H42" s="11"/>
      <c r="I42" s="11"/>
      <c r="J42" s="11"/>
      <c r="K42" s="11"/>
      <c r="L42" s="11"/>
      <c r="M42" s="12"/>
    </row>
    <row r="43" spans="1:13" ht="18.75" thickBot="1" x14ac:dyDescent="0.3">
      <c r="A43" s="62" t="s">
        <v>82</v>
      </c>
    </row>
    <row r="44" spans="1:13" x14ac:dyDescent="0.25">
      <c r="A44" s="63" t="s">
        <v>20</v>
      </c>
      <c r="B44" s="64">
        <v>0</v>
      </c>
      <c r="C44" s="64">
        <v>1</v>
      </c>
      <c r="D44" s="64">
        <v>2</v>
      </c>
      <c r="E44" s="64">
        <v>3</v>
      </c>
      <c r="F44" s="64">
        <v>4</v>
      </c>
      <c r="G44" s="64">
        <v>5</v>
      </c>
      <c r="H44" s="64">
        <v>6</v>
      </c>
      <c r="I44" s="64">
        <v>7</v>
      </c>
      <c r="J44" s="64">
        <v>8</v>
      </c>
      <c r="K44" s="64">
        <v>9</v>
      </c>
      <c r="L44" s="65">
        <v>10</v>
      </c>
      <c r="M44" s="66"/>
    </row>
    <row r="45" spans="1:13" x14ac:dyDescent="0.25">
      <c r="A45" s="67" t="s">
        <v>60</v>
      </c>
      <c r="B45" s="68">
        <f>(1+B72)*(-B5)</f>
        <v>-470000</v>
      </c>
      <c r="C45" s="68">
        <f>'Flujo '!D155</f>
        <v>0</v>
      </c>
      <c r="D45" s="68"/>
      <c r="E45" s="68"/>
      <c r="F45" s="68"/>
      <c r="G45" s="68"/>
      <c r="H45" s="68"/>
      <c r="I45" s="68"/>
      <c r="J45" s="68"/>
      <c r="K45" s="68"/>
      <c r="L45" s="68"/>
      <c r="M45" s="71"/>
    </row>
    <row r="46" spans="1:13" x14ac:dyDescent="0.25">
      <c r="A46" s="67" t="s">
        <v>61</v>
      </c>
      <c r="B46" s="68">
        <f>'Flujo '!C157</f>
        <v>0</v>
      </c>
      <c r="C46" s="68">
        <f>B32</f>
        <v>219800</v>
      </c>
      <c r="D46" s="68">
        <f t="shared" ref="D46:L47" si="9">C32</f>
        <v>231217.5686183747</v>
      </c>
      <c r="E46" s="68">
        <f t="shared" si="9"/>
        <v>287921.96077296836</v>
      </c>
      <c r="F46" s="68">
        <f t="shared" si="9"/>
        <v>287921.96077296836</v>
      </c>
      <c r="G46" s="68">
        <f t="shared" si="9"/>
        <v>287921.96077296836</v>
      </c>
      <c r="H46" s="68">
        <f t="shared" si="9"/>
        <v>287921.96077296836</v>
      </c>
      <c r="I46" s="68">
        <f t="shared" si="9"/>
        <v>287921.96077296836</v>
      </c>
      <c r="J46" s="68">
        <f t="shared" si="9"/>
        <v>287921.96077296836</v>
      </c>
      <c r="K46" s="68">
        <f t="shared" si="9"/>
        <v>287921.96077296836</v>
      </c>
      <c r="L46" s="68">
        <f t="shared" si="9"/>
        <v>287921.96077296836</v>
      </c>
      <c r="M46" s="72"/>
    </row>
    <row r="47" spans="1:13" x14ac:dyDescent="0.25">
      <c r="A47" s="67" t="s">
        <v>62</v>
      </c>
      <c r="B47" s="68">
        <f>'Flujo '!C158</f>
        <v>0</v>
      </c>
      <c r="C47" s="68">
        <f>B33</f>
        <v>100000</v>
      </c>
      <c r="D47" s="68">
        <f t="shared" si="9"/>
        <v>120000</v>
      </c>
      <c r="E47" s="68">
        <f t="shared" si="9"/>
        <v>140000</v>
      </c>
      <c r="F47" s="68">
        <f t="shared" si="9"/>
        <v>140000</v>
      </c>
      <c r="G47" s="68">
        <f t="shared" si="9"/>
        <v>140000</v>
      </c>
      <c r="H47" s="68">
        <f t="shared" si="9"/>
        <v>140000</v>
      </c>
      <c r="I47" s="68">
        <f t="shared" si="9"/>
        <v>140000</v>
      </c>
      <c r="J47" s="68">
        <f t="shared" si="9"/>
        <v>140000</v>
      </c>
      <c r="K47" s="68">
        <f t="shared" si="9"/>
        <v>140000</v>
      </c>
      <c r="L47" s="68">
        <f t="shared" si="9"/>
        <v>140000</v>
      </c>
      <c r="M47" s="72"/>
    </row>
    <row r="48" spans="1:13" x14ac:dyDescent="0.25">
      <c r="A48" s="67" t="s">
        <v>81</v>
      </c>
      <c r="B48" s="68" t="e">
        <f>'Flujo '!#REF!</f>
        <v>#REF!</v>
      </c>
      <c r="C48" s="68">
        <f>B38</f>
        <v>36300</v>
      </c>
      <c r="D48" s="68">
        <f t="shared" ref="D48:L48" si="10">C38</f>
        <v>34147.886353341819</v>
      </c>
      <c r="E48" s="68">
        <f t="shared" si="10"/>
        <v>31759.04020555125</v>
      </c>
      <c r="F48" s="68">
        <f t="shared" si="10"/>
        <v>29107.420981503707</v>
      </c>
      <c r="G48" s="68">
        <f t="shared" si="10"/>
        <v>26164.123642810941</v>
      </c>
      <c r="H48" s="68">
        <f t="shared" si="10"/>
        <v>22897.063596861968</v>
      </c>
      <c r="I48" s="68">
        <f t="shared" si="10"/>
        <v>19270.62694585861</v>
      </c>
      <c r="J48" s="68">
        <f t="shared" si="10"/>
        <v>15245.282263244882</v>
      </c>
      <c r="K48" s="68">
        <f t="shared" si="10"/>
        <v>10777.149665543644</v>
      </c>
      <c r="L48" s="68">
        <f t="shared" si="10"/>
        <v>5817.5224820952699</v>
      </c>
      <c r="M48" s="72"/>
    </row>
    <row r="49" spans="1:13" x14ac:dyDescent="0.25">
      <c r="A49" s="67" t="s">
        <v>63</v>
      </c>
      <c r="B49" s="68">
        <f>'Flujo '!C159</f>
        <v>0</v>
      </c>
      <c r="C49" s="68">
        <f>B40</f>
        <v>7898</v>
      </c>
      <c r="D49" s="68">
        <f t="shared" ref="D49:L49" si="11">C40</f>
        <v>21201.8650022648</v>
      </c>
      <c r="E49" s="68">
        <f t="shared" si="11"/>
        <v>32881.411154778725</v>
      </c>
      <c r="F49" s="68">
        <f t="shared" si="11"/>
        <v>33464.767384069186</v>
      </c>
      <c r="G49" s="68">
        <f t="shared" si="11"/>
        <v>34112.292798581591</v>
      </c>
      <c r="H49" s="68">
        <f t="shared" si="11"/>
        <v>34831.046008690369</v>
      </c>
      <c r="I49" s="68">
        <f t="shared" si="11"/>
        <v>35628.862071911106</v>
      </c>
      <c r="J49" s="68">
        <f t="shared" si="11"/>
        <v>36514.437902086123</v>
      </c>
      <c r="K49" s="68">
        <f t="shared" si="11"/>
        <v>37497.427073580402</v>
      </c>
      <c r="L49" s="68">
        <f t="shared" si="11"/>
        <v>38588.545053939037</v>
      </c>
      <c r="M49" s="72"/>
    </row>
    <row r="50" spans="1:13" x14ac:dyDescent="0.25">
      <c r="A50" s="67" t="s">
        <v>64</v>
      </c>
      <c r="B50" s="68"/>
      <c r="C50" s="68"/>
      <c r="D50" s="68"/>
      <c r="E50" s="68"/>
      <c r="F50" s="68"/>
      <c r="G50" s="68"/>
      <c r="H50" s="68"/>
      <c r="I50" s="68"/>
      <c r="J50" s="68"/>
      <c r="K50" s="68"/>
      <c r="L50" s="68">
        <f>'Flujo '!M160</f>
        <v>84000</v>
      </c>
      <c r="M50" s="73"/>
    </row>
    <row r="51" spans="1:13" x14ac:dyDescent="0.25">
      <c r="A51" s="105" t="s">
        <v>83</v>
      </c>
      <c r="B51" s="68">
        <f>B6</f>
        <v>330000</v>
      </c>
      <c r="C51" s="68"/>
      <c r="D51" s="68"/>
      <c r="E51" s="68"/>
      <c r="F51" s="68"/>
      <c r="G51" s="68"/>
      <c r="H51" s="68"/>
      <c r="I51" s="68"/>
      <c r="J51" s="68"/>
      <c r="K51" s="68"/>
      <c r="L51" s="68"/>
      <c r="M51" s="106"/>
    </row>
    <row r="52" spans="1:13" x14ac:dyDescent="0.25">
      <c r="A52" s="105" t="s">
        <v>79</v>
      </c>
      <c r="B52" s="68">
        <f>'Flujo '!C163</f>
        <v>0</v>
      </c>
      <c r="C52" s="68">
        <f>E13</f>
        <v>19734.470942171807</v>
      </c>
      <c r="D52" s="68">
        <f>E14</f>
        <v>21905.262745810709</v>
      </c>
      <c r="E52" s="68">
        <f>E15</f>
        <v>24314.841647849888</v>
      </c>
      <c r="F52" s="68">
        <f>E16</f>
        <v>26989.474229113373</v>
      </c>
      <c r="G52" s="68">
        <f>E17</f>
        <v>29958.316394315847</v>
      </c>
      <c r="H52" s="68">
        <f>E18</f>
        <v>33253.731197690591</v>
      </c>
      <c r="I52" s="68">
        <f>E19</f>
        <v>36911.641629436555</v>
      </c>
      <c r="J52" s="68">
        <f>E20</f>
        <v>40971.922208674572</v>
      </c>
      <c r="K52" s="68">
        <f>E21</f>
        <v>45478.833651628782</v>
      </c>
      <c r="L52" s="68">
        <f>E22</f>
        <v>50481.505353307941</v>
      </c>
      <c r="M52" s="106"/>
    </row>
    <row r="53" spans="1:13" ht="15.75" thickBot="1" x14ac:dyDescent="0.3">
      <c r="A53" s="74" t="s">
        <v>65</v>
      </c>
      <c r="B53" s="68" t="e">
        <f>B46+B45-B47-B48-B49+B50+B51-B52</f>
        <v>#REF!</v>
      </c>
      <c r="C53" s="68">
        <f>C46-C45-C47-C48-C49+C50-C52</f>
        <v>55867.529057828193</v>
      </c>
      <c r="D53" s="68">
        <f t="shared" ref="D53:L53" si="12">D46-D45-D47-D48-D49+D50-D52</f>
        <v>33962.554516957374</v>
      </c>
      <c r="E53" s="68">
        <f t="shared" si="12"/>
        <v>58966.667764788494</v>
      </c>
      <c r="F53" s="68">
        <f t="shared" si="12"/>
        <v>58360.298178282101</v>
      </c>
      <c r="G53" s="68">
        <f t="shared" si="12"/>
        <v>57687.227937259988</v>
      </c>
      <c r="H53" s="68">
        <f t="shared" si="12"/>
        <v>56940.119969725434</v>
      </c>
      <c r="I53" s="68">
        <f t="shared" si="12"/>
        <v>56110.830125762084</v>
      </c>
      <c r="J53" s="68">
        <f t="shared" si="12"/>
        <v>55190.318398962787</v>
      </c>
      <c r="K53" s="68">
        <f t="shared" si="12"/>
        <v>54168.550382215544</v>
      </c>
      <c r="L53" s="68">
        <f t="shared" si="12"/>
        <v>137034.38788362613</v>
      </c>
      <c r="M53" s="75"/>
    </row>
    <row r="54" spans="1:13" x14ac:dyDescent="0.25">
      <c r="B54" s="107"/>
      <c r="C54" s="107"/>
      <c r="D54" s="107"/>
      <c r="E54" s="107"/>
      <c r="F54" s="107"/>
      <c r="G54" s="107"/>
      <c r="H54" s="107"/>
      <c r="I54" s="107"/>
      <c r="J54" s="107"/>
      <c r="K54" s="107"/>
      <c r="L54" s="107"/>
    </row>
    <row r="55" spans="1:13" x14ac:dyDescent="0.25">
      <c r="B55" s="107"/>
      <c r="C55" s="107"/>
      <c r="D55" s="107"/>
      <c r="E55" s="107"/>
      <c r="F55" s="107"/>
      <c r="G55" s="107"/>
      <c r="H55" s="107"/>
      <c r="I55" s="107"/>
      <c r="J55" s="107"/>
      <c r="K55" s="107"/>
      <c r="L55" s="107"/>
    </row>
    <row r="56" spans="1:13" ht="15.75" thickBot="1" x14ac:dyDescent="0.3">
      <c r="A56" s="82" t="s">
        <v>129</v>
      </c>
      <c r="B56" s="107"/>
      <c r="C56" s="107"/>
      <c r="D56" s="107"/>
      <c r="E56" s="157" t="s">
        <v>130</v>
      </c>
      <c r="F56" s="107"/>
      <c r="G56" s="107"/>
      <c r="H56" s="107"/>
      <c r="I56" s="107"/>
      <c r="J56" s="107"/>
      <c r="K56" s="107"/>
      <c r="L56" s="107"/>
    </row>
    <row r="57" spans="1:13" ht="15.75" x14ac:dyDescent="0.25">
      <c r="A57" s="142" t="s">
        <v>66</v>
      </c>
      <c r="B57" s="160" t="e">
        <f>NPV(B58, C53:L53)+B53</f>
        <v>#REF!</v>
      </c>
      <c r="C57" s="107"/>
      <c r="D57" s="107"/>
      <c r="E57" s="158" t="s">
        <v>60</v>
      </c>
      <c r="F57" s="149">
        <f>-+B45</f>
        <v>470000</v>
      </c>
      <c r="G57" s="107"/>
      <c r="H57" s="107"/>
      <c r="I57" s="107"/>
      <c r="J57" s="107"/>
      <c r="K57" s="107"/>
      <c r="L57" s="107"/>
    </row>
    <row r="58" spans="1:13" ht="15.75" x14ac:dyDescent="0.25">
      <c r="A58" s="138" t="s">
        <v>99</v>
      </c>
      <c r="B58" s="144">
        <f>+F64</f>
        <v>0.1378723404255319</v>
      </c>
      <c r="C58" s="107"/>
      <c r="E58" s="159" t="s">
        <v>84</v>
      </c>
      <c r="F58" s="151">
        <f>+B51</f>
        <v>330000</v>
      </c>
      <c r="G58" s="107"/>
      <c r="H58" s="107"/>
      <c r="I58" s="107"/>
      <c r="J58" s="107"/>
      <c r="K58" s="107"/>
      <c r="L58" s="107"/>
    </row>
    <row r="59" spans="1:13" ht="15.75" x14ac:dyDescent="0.25">
      <c r="A59" s="138" t="s">
        <v>67</v>
      </c>
      <c r="B59" s="145" t="e">
        <f>IRR(B53:M53, 17%)</f>
        <v>#VALUE!</v>
      </c>
      <c r="C59" s="107"/>
      <c r="E59" s="159" t="s">
        <v>85</v>
      </c>
      <c r="F59" s="151">
        <f>+F57-F58</f>
        <v>140000</v>
      </c>
      <c r="G59" s="107"/>
      <c r="H59" s="107"/>
      <c r="I59" s="107"/>
      <c r="J59" s="107"/>
      <c r="K59" s="107"/>
      <c r="L59" s="107"/>
    </row>
    <row r="60" spans="1:13" ht="15.75" x14ac:dyDescent="0.25">
      <c r="A60" s="143" t="s">
        <v>60</v>
      </c>
      <c r="B60" s="146">
        <f>+-B45</f>
        <v>470000</v>
      </c>
      <c r="C60" s="107"/>
      <c r="E60" s="159" t="s">
        <v>93</v>
      </c>
      <c r="F60" s="152">
        <f>+F58/F57</f>
        <v>0.7021276595744681</v>
      </c>
      <c r="G60" s="107"/>
      <c r="H60" s="107"/>
      <c r="I60" s="107"/>
      <c r="J60" s="107"/>
      <c r="K60" s="107"/>
      <c r="L60" s="107"/>
    </row>
    <row r="61" spans="1:13" ht="15.75" x14ac:dyDescent="0.25">
      <c r="A61" s="138"/>
      <c r="B61" s="147"/>
      <c r="C61" s="107"/>
      <c r="E61" s="159" t="s">
        <v>94</v>
      </c>
      <c r="F61" s="152">
        <f>+F59/F57</f>
        <v>0.2978723404255319</v>
      </c>
      <c r="G61" s="107"/>
      <c r="H61" s="107"/>
      <c r="I61" s="107"/>
      <c r="J61" s="107"/>
      <c r="K61" s="107"/>
      <c r="L61" s="107"/>
    </row>
    <row r="62" spans="1:13" ht="15.75" x14ac:dyDescent="0.25">
      <c r="A62" s="138" t="s">
        <v>102</v>
      </c>
      <c r="B62" s="147" t="e">
        <f>+B57/B60</f>
        <v>#REF!</v>
      </c>
      <c r="E62" s="159" t="s">
        <v>95</v>
      </c>
      <c r="F62" s="153">
        <v>0.12</v>
      </c>
    </row>
    <row r="63" spans="1:13" ht="15.75" x14ac:dyDescent="0.25">
      <c r="A63" s="138" t="s">
        <v>89</v>
      </c>
      <c r="B63" s="146">
        <f>NPV(B58,C53:L53)</f>
        <v>303601.26633338118</v>
      </c>
      <c r="C63" s="107"/>
      <c r="E63" s="159" t="s">
        <v>96</v>
      </c>
      <c r="F63" s="153">
        <v>0.18</v>
      </c>
      <c r="G63" s="107"/>
      <c r="H63" s="107"/>
      <c r="I63" s="107"/>
      <c r="J63" s="107"/>
      <c r="K63" s="107"/>
      <c r="L63" s="107"/>
    </row>
    <row r="64" spans="1:13" ht="15.75" x14ac:dyDescent="0.25">
      <c r="A64" s="138" t="s">
        <v>90</v>
      </c>
      <c r="B64" s="146" t="e">
        <f>-+B53</f>
        <v>#REF!</v>
      </c>
      <c r="E64" s="159" t="s">
        <v>100</v>
      </c>
      <c r="F64" s="154">
        <f>+(F60*F62)+(F61*F63)</f>
        <v>0.1378723404255319</v>
      </c>
      <c r="G64" s="108"/>
    </row>
    <row r="65" spans="1:10" ht="15.75" thickBot="1" x14ac:dyDescent="0.3">
      <c r="A65" s="139" t="s">
        <v>103</v>
      </c>
      <c r="B65" s="148" t="e">
        <f>+B63/B64</f>
        <v>#REF!</v>
      </c>
      <c r="E65" s="150"/>
      <c r="F65" s="153"/>
      <c r="G65" s="108"/>
      <c r="J65" s="108"/>
    </row>
    <row r="68" spans="1:10" ht="15.75" x14ac:dyDescent="0.25">
      <c r="A68" s="163" t="s">
        <v>104</v>
      </c>
    </row>
    <row r="69" spans="1:10" ht="15.75" x14ac:dyDescent="0.25">
      <c r="A69" s="163"/>
    </row>
    <row r="70" spans="1:10" x14ac:dyDescent="0.25">
      <c r="A70" s="339" t="s">
        <v>131</v>
      </c>
      <c r="B70" s="339"/>
      <c r="C70" s="339"/>
    </row>
    <row r="71" spans="1:10" x14ac:dyDescent="0.25">
      <c r="A71" s="170" t="s">
        <v>121</v>
      </c>
      <c r="B71" s="169" t="s">
        <v>108</v>
      </c>
      <c r="C71" s="169" t="s">
        <v>101</v>
      </c>
    </row>
    <row r="72" spans="1:10" x14ac:dyDescent="0.25">
      <c r="A72" s="164" t="s">
        <v>105</v>
      </c>
      <c r="B72" s="167">
        <v>0</v>
      </c>
      <c r="C72" s="341" t="e">
        <f>B57</f>
        <v>#REF!</v>
      </c>
    </row>
    <row r="73" spans="1:10" x14ac:dyDescent="0.25">
      <c r="A73" s="164" t="s">
        <v>106</v>
      </c>
      <c r="B73" s="167">
        <v>0</v>
      </c>
      <c r="C73" s="342"/>
    </row>
    <row r="74" spans="1:10" x14ac:dyDescent="0.25">
      <c r="A74" s="164" t="s">
        <v>113</v>
      </c>
      <c r="B74" s="167">
        <v>0</v>
      </c>
      <c r="C74" s="342"/>
    </row>
    <row r="75" spans="1:10" x14ac:dyDescent="0.25">
      <c r="A75" s="164" t="s">
        <v>114</v>
      </c>
      <c r="B75" s="167">
        <v>0</v>
      </c>
      <c r="C75" s="342"/>
    </row>
    <row r="76" spans="1:10" x14ac:dyDescent="0.25">
      <c r="A76" s="164" t="s">
        <v>107</v>
      </c>
      <c r="B76" s="167">
        <v>0</v>
      </c>
      <c r="C76" s="343"/>
    </row>
    <row r="77" spans="1:10" x14ac:dyDescent="0.25">
      <c r="F77" s="339" t="s">
        <v>133</v>
      </c>
      <c r="G77" s="339"/>
      <c r="H77" s="339"/>
    </row>
    <row r="78" spans="1:10" x14ac:dyDescent="0.25">
      <c r="A78" s="339" t="s">
        <v>132</v>
      </c>
      <c r="B78" s="339"/>
      <c r="C78" s="339"/>
      <c r="F78" s="340" t="s">
        <v>101</v>
      </c>
      <c r="G78" s="340"/>
      <c r="H78" s="340"/>
    </row>
    <row r="79" spans="1:10" x14ac:dyDescent="0.25">
      <c r="A79" s="170" t="s">
        <v>121</v>
      </c>
      <c r="B79" s="165" t="s">
        <v>109</v>
      </c>
      <c r="C79" s="165">
        <v>0</v>
      </c>
      <c r="D79" s="165" t="s">
        <v>112</v>
      </c>
      <c r="E79" s="161"/>
      <c r="F79" s="165" t="s">
        <v>115</v>
      </c>
      <c r="G79" s="165" t="s">
        <v>116</v>
      </c>
      <c r="H79" s="171" t="s">
        <v>117</v>
      </c>
    </row>
    <row r="80" spans="1:10" x14ac:dyDescent="0.25">
      <c r="A80" s="164" t="s">
        <v>105</v>
      </c>
      <c r="B80" s="168">
        <v>245942</v>
      </c>
      <c r="C80" s="168">
        <v>142994</v>
      </c>
      <c r="D80" s="168">
        <v>34781</v>
      </c>
      <c r="E80" s="173" t="s">
        <v>60</v>
      </c>
      <c r="F80" s="172">
        <f>(B80-C80)/C80</f>
        <v>0.71994629145278821</v>
      </c>
      <c r="G80" s="172">
        <f>(D80-C80)/C80</f>
        <v>-0.75676601815460787</v>
      </c>
      <c r="H80" s="166" t="s">
        <v>118</v>
      </c>
    </row>
    <row r="81" spans="1:8" x14ac:dyDescent="0.25">
      <c r="A81" s="164" t="s">
        <v>106</v>
      </c>
      <c r="B81" s="168">
        <v>127927</v>
      </c>
      <c r="C81" s="168">
        <v>142994</v>
      </c>
      <c r="D81" s="168">
        <v>158061</v>
      </c>
      <c r="E81" s="173" t="s">
        <v>61</v>
      </c>
      <c r="F81" s="172">
        <f t="shared" ref="F81:F84" si="13">(B81-C81)/C81</f>
        <v>-0.10536805740100984</v>
      </c>
      <c r="G81" s="172">
        <f t="shared" ref="G81:G84" si="14">(D81-C81)/C81</f>
        <v>0.10536805740100984</v>
      </c>
      <c r="H81" s="166" t="s">
        <v>119</v>
      </c>
    </row>
    <row r="82" spans="1:8" x14ac:dyDescent="0.25">
      <c r="A82" s="164" t="s">
        <v>113</v>
      </c>
      <c r="B82" s="168">
        <v>160073</v>
      </c>
      <c r="C82" s="168">
        <v>142994</v>
      </c>
      <c r="D82" s="168">
        <v>125915</v>
      </c>
      <c r="E82" s="173" t="s">
        <v>52</v>
      </c>
      <c r="F82" s="172">
        <f t="shared" si="13"/>
        <v>0.11943857784242695</v>
      </c>
      <c r="G82" s="172">
        <f t="shared" si="14"/>
        <v>-0.11943857784242695</v>
      </c>
      <c r="H82" s="166" t="s">
        <v>119</v>
      </c>
    </row>
    <row r="83" spans="1:8" x14ac:dyDescent="0.25">
      <c r="A83" s="164" t="s">
        <v>114</v>
      </c>
      <c r="B83" s="168">
        <v>145736</v>
      </c>
      <c r="C83" s="168">
        <v>142994</v>
      </c>
      <c r="D83" s="168">
        <v>140252</v>
      </c>
      <c r="E83" s="173" t="s">
        <v>122</v>
      </c>
      <c r="F83" s="172">
        <f t="shared" si="13"/>
        <v>1.9175629746702658E-2</v>
      </c>
      <c r="G83" s="172">
        <f t="shared" si="14"/>
        <v>-1.9175629746702658E-2</v>
      </c>
      <c r="H83" s="166" t="s">
        <v>120</v>
      </c>
    </row>
    <row r="84" spans="1:8" x14ac:dyDescent="0.25">
      <c r="A84" s="164" t="s">
        <v>107</v>
      </c>
      <c r="B84" s="168">
        <v>141356</v>
      </c>
      <c r="C84" s="168">
        <v>142994</v>
      </c>
      <c r="D84" s="168">
        <v>144593</v>
      </c>
      <c r="E84" s="173" t="s">
        <v>123</v>
      </c>
      <c r="F84" s="172">
        <f t="shared" si="13"/>
        <v>-1.1455026085010559E-2</v>
      </c>
      <c r="G84" s="172">
        <f t="shared" si="14"/>
        <v>1.1182287368700784E-2</v>
      </c>
      <c r="H84" s="166" t="s">
        <v>120</v>
      </c>
    </row>
    <row r="87" spans="1:8" x14ac:dyDescent="0.25">
      <c r="A87" s="339" t="s">
        <v>124</v>
      </c>
      <c r="B87" s="339"/>
      <c r="C87" s="339"/>
      <c r="D87" s="339"/>
      <c r="F87" s="340" t="s">
        <v>101</v>
      </c>
      <c r="G87" s="340"/>
      <c r="H87" s="340"/>
    </row>
    <row r="88" spans="1:8" x14ac:dyDescent="0.25">
      <c r="A88" s="170" t="s">
        <v>121</v>
      </c>
      <c r="B88" s="165" t="s">
        <v>110</v>
      </c>
      <c r="C88" s="165">
        <v>0</v>
      </c>
      <c r="D88" s="165" t="s">
        <v>111</v>
      </c>
      <c r="E88" s="161"/>
      <c r="F88" s="165" t="s">
        <v>115</v>
      </c>
      <c r="G88" s="165" t="s">
        <v>116</v>
      </c>
      <c r="H88" s="171" t="s">
        <v>117</v>
      </c>
    </row>
    <row r="89" spans="1:8" x14ac:dyDescent="0.25">
      <c r="A89" s="164" t="s">
        <v>105</v>
      </c>
      <c r="B89" s="168"/>
      <c r="C89" s="168">
        <v>142994</v>
      </c>
      <c r="D89" s="168"/>
      <c r="E89" s="173" t="s">
        <v>60</v>
      </c>
      <c r="F89" s="172">
        <f>(B89-C89)/C89</f>
        <v>-1</v>
      </c>
      <c r="G89" s="172">
        <f>(D89-C89)/C89</f>
        <v>-1</v>
      </c>
      <c r="H89" s="166" t="s">
        <v>118</v>
      </c>
    </row>
    <row r="90" spans="1:8" x14ac:dyDescent="0.25">
      <c r="A90" s="164" t="s">
        <v>106</v>
      </c>
      <c r="B90" s="168"/>
      <c r="C90" s="168">
        <v>142994</v>
      </c>
      <c r="D90" s="168"/>
      <c r="E90" s="173" t="s">
        <v>61</v>
      </c>
      <c r="F90" s="172">
        <f t="shared" ref="F90:F93" si="15">(B90-C90)/C90</f>
        <v>-1</v>
      </c>
      <c r="G90" s="172">
        <f t="shared" ref="G90:G93" si="16">(D90-C90)/C90</f>
        <v>-1</v>
      </c>
      <c r="H90" s="166" t="s">
        <v>119</v>
      </c>
    </row>
    <row r="91" spans="1:8" x14ac:dyDescent="0.25">
      <c r="A91" s="164" t="s">
        <v>113</v>
      </c>
      <c r="B91" s="168"/>
      <c r="C91" s="168">
        <v>142994</v>
      </c>
      <c r="D91" s="168"/>
      <c r="E91" s="173" t="s">
        <v>52</v>
      </c>
      <c r="F91" s="172">
        <f t="shared" si="15"/>
        <v>-1</v>
      </c>
      <c r="G91" s="172">
        <f t="shared" si="16"/>
        <v>-1</v>
      </c>
      <c r="H91" s="166" t="s">
        <v>119</v>
      </c>
    </row>
    <row r="92" spans="1:8" x14ac:dyDescent="0.25">
      <c r="A92" s="164" t="s">
        <v>114</v>
      </c>
      <c r="B92" s="168"/>
      <c r="C92" s="168">
        <v>142994</v>
      </c>
      <c r="D92" s="168"/>
      <c r="E92" s="173" t="s">
        <v>122</v>
      </c>
      <c r="F92" s="172">
        <f t="shared" si="15"/>
        <v>-1</v>
      </c>
      <c r="G92" s="172">
        <f t="shared" si="16"/>
        <v>-1</v>
      </c>
      <c r="H92" s="166" t="s">
        <v>120</v>
      </c>
    </row>
    <row r="93" spans="1:8" x14ac:dyDescent="0.25">
      <c r="A93" s="164" t="s">
        <v>107</v>
      </c>
      <c r="B93" s="168"/>
      <c r="C93" s="168">
        <v>142994</v>
      </c>
      <c r="D93" s="168"/>
      <c r="E93" s="173" t="s">
        <v>123</v>
      </c>
      <c r="F93" s="172">
        <f t="shared" si="15"/>
        <v>-1</v>
      </c>
      <c r="G93" s="172">
        <f t="shared" si="16"/>
        <v>-1</v>
      </c>
      <c r="H93" s="166" t="s">
        <v>120</v>
      </c>
    </row>
    <row r="95" spans="1:8" x14ac:dyDescent="0.25">
      <c r="A95" s="162" t="s">
        <v>125</v>
      </c>
    </row>
    <row r="96" spans="1:8" x14ac:dyDescent="0.25">
      <c r="A96" s="338" t="s">
        <v>134</v>
      </c>
      <c r="B96" s="338"/>
      <c r="C96" s="338"/>
      <c r="D96" s="338"/>
      <c r="E96" s="338"/>
      <c r="F96" s="338"/>
      <c r="G96" s="338"/>
      <c r="H96" s="338"/>
    </row>
    <row r="97" spans="1:8" ht="50.25" customHeight="1" x14ac:dyDescent="0.25">
      <c r="A97" s="337" t="s">
        <v>135</v>
      </c>
      <c r="B97" s="337"/>
      <c r="C97" s="337"/>
      <c r="D97" s="337"/>
      <c r="E97" s="337"/>
      <c r="F97" s="337"/>
      <c r="G97" s="337"/>
      <c r="H97" s="337"/>
    </row>
    <row r="98" spans="1:8" ht="29.25" customHeight="1" x14ac:dyDescent="0.25">
      <c r="A98" s="337" t="s">
        <v>137</v>
      </c>
      <c r="B98" s="337"/>
      <c r="C98" s="337"/>
      <c r="D98" s="337"/>
      <c r="E98" s="337"/>
      <c r="F98" s="337"/>
      <c r="G98" s="337"/>
      <c r="H98" s="337"/>
    </row>
    <row r="99" spans="1:8" x14ac:dyDescent="0.25">
      <c r="A99" t="s">
        <v>136</v>
      </c>
    </row>
    <row r="100" spans="1:8" x14ac:dyDescent="0.25">
      <c r="A100" t="s">
        <v>126</v>
      </c>
    </row>
    <row r="101" spans="1:8" ht="28.5" customHeight="1" x14ac:dyDescent="0.25">
      <c r="A101" s="337" t="s">
        <v>127</v>
      </c>
      <c r="B101" s="337"/>
      <c r="C101" s="337"/>
      <c r="D101" s="337"/>
      <c r="E101" s="337"/>
      <c r="F101" s="337"/>
      <c r="G101" s="337"/>
      <c r="H101" s="337"/>
    </row>
    <row r="103" spans="1:8" x14ac:dyDescent="0.25">
      <c r="A103" s="338" t="s">
        <v>128</v>
      </c>
      <c r="B103" s="338"/>
      <c r="C103" s="338"/>
      <c r="D103" s="338"/>
      <c r="E103" s="338"/>
      <c r="F103" s="338"/>
      <c r="G103" s="338"/>
      <c r="H103" s="338"/>
    </row>
  </sheetData>
  <mergeCells count="12">
    <mergeCell ref="A101:H101"/>
    <mergeCell ref="A103:H103"/>
    <mergeCell ref="A70:C70"/>
    <mergeCell ref="A78:C78"/>
    <mergeCell ref="F77:H77"/>
    <mergeCell ref="F78:H78"/>
    <mergeCell ref="C72:C76"/>
    <mergeCell ref="F87:H87"/>
    <mergeCell ref="A87:D87"/>
    <mergeCell ref="A97:H97"/>
    <mergeCell ref="A98:H98"/>
    <mergeCell ref="A96:H96"/>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Flujo </vt:lpstr>
      <vt:lpstr>Análisis Sensibilidad</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Marlon Velasquez</dc:creator>
  <cp:lastModifiedBy>Marlon Velasquez</cp:lastModifiedBy>
  <dcterms:created xsi:type="dcterms:W3CDTF">2013-01-19T16:31:04Z</dcterms:created>
  <dcterms:modified xsi:type="dcterms:W3CDTF">2013-06-08T19:01:32Z</dcterms:modified>
</cp:coreProperties>
</file>