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750" windowWidth="20520" windowHeight="3810" firstSheet="1" activeTab="1"/>
  </bookViews>
  <sheets>
    <sheet name="Análisis Sensibilidad" sheetId="4" state="hidden" r:id="rId1"/>
    <sheet name="Conceptos introductorios" sheetId="5" r:id="rId2"/>
    <sheet name="Flujo y análisis sensibilidad " sheetId="1" r:id="rId3"/>
  </sheets>
  <externalReferences>
    <externalReference r:id="rId4"/>
  </externalReferences>
  <calcPr calcId="145621"/>
  <fileRecoveryPr repairLoad="1"/>
</workbook>
</file>

<file path=xl/calcChain.xml><?xml version="1.0" encoding="utf-8"?>
<calcChain xmlns="http://schemas.openxmlformats.org/spreadsheetml/2006/main">
  <c r="C151" i="1" l="1"/>
  <c r="C116" i="1"/>
  <c r="E153" i="1"/>
  <c r="F153" i="1"/>
  <c r="G153" i="1"/>
  <c r="H153" i="1"/>
  <c r="I153" i="1"/>
  <c r="J153" i="1"/>
  <c r="K153" i="1"/>
  <c r="L153" i="1"/>
  <c r="M153" i="1"/>
  <c r="D153" i="1"/>
  <c r="G197" i="1"/>
  <c r="H197" i="1"/>
  <c r="G198" i="1"/>
  <c r="H198" i="1"/>
  <c r="G199" i="1"/>
  <c r="H199" i="1"/>
  <c r="G170" i="1"/>
  <c r="D141" i="1"/>
  <c r="E141" i="1"/>
  <c r="F141" i="1"/>
  <c r="G141" i="1"/>
  <c r="H141" i="1"/>
  <c r="I141" i="1"/>
  <c r="J141" i="1"/>
  <c r="K141" i="1"/>
  <c r="L141" i="1"/>
  <c r="D142" i="1"/>
  <c r="E142" i="1"/>
  <c r="F142" i="1"/>
  <c r="G142" i="1"/>
  <c r="H142" i="1"/>
  <c r="I142" i="1"/>
  <c r="J142" i="1"/>
  <c r="K142" i="1"/>
  <c r="L142" i="1"/>
  <c r="C142" i="1"/>
  <c r="C141" i="1"/>
  <c r="H211" i="1"/>
  <c r="G211" i="1"/>
  <c r="H210" i="1"/>
  <c r="G210" i="1"/>
  <c r="H209" i="1"/>
  <c r="G209" i="1"/>
  <c r="H208" i="1"/>
  <c r="G208" i="1"/>
  <c r="H207" i="1"/>
  <c r="G207" i="1"/>
  <c r="H196" i="1"/>
  <c r="G196" i="1"/>
  <c r="H195" i="1"/>
  <c r="G195" i="1"/>
  <c r="G63" i="1" l="1"/>
  <c r="L51" i="1" l="1"/>
  <c r="K51" i="1"/>
  <c r="J51" i="1"/>
  <c r="I51" i="1"/>
  <c r="H51" i="1"/>
  <c r="G51" i="1"/>
  <c r="F51" i="1"/>
  <c r="E51" i="1"/>
  <c r="D51" i="1"/>
  <c r="C51" i="1"/>
  <c r="L48" i="1"/>
  <c r="K48" i="1"/>
  <c r="J48" i="1"/>
  <c r="I48" i="1"/>
  <c r="H48" i="1"/>
  <c r="G48" i="1"/>
  <c r="F48" i="1"/>
  <c r="E48" i="1"/>
  <c r="D48" i="1"/>
  <c r="C48" i="1"/>
  <c r="C32" i="1" l="1"/>
  <c r="G93" i="4" l="1"/>
  <c r="F93" i="4"/>
  <c r="G92" i="4"/>
  <c r="F92" i="4"/>
  <c r="G91" i="4"/>
  <c r="F91" i="4"/>
  <c r="G90" i="4"/>
  <c r="F90" i="4"/>
  <c r="G89" i="4"/>
  <c r="F89" i="4"/>
  <c r="G81" i="4"/>
  <c r="G82" i="4"/>
  <c r="G83" i="4"/>
  <c r="G84" i="4"/>
  <c r="G80" i="4"/>
  <c r="F81" i="4"/>
  <c r="F82" i="4"/>
  <c r="F83" i="4"/>
  <c r="F84" i="4"/>
  <c r="F80" i="4"/>
  <c r="B7" i="4"/>
  <c r="D13" i="4" s="1"/>
  <c r="C35" i="4"/>
  <c r="D35" i="4"/>
  <c r="E35" i="4"/>
  <c r="F35" i="4"/>
  <c r="F33" i="4" s="1"/>
  <c r="G47" i="4" s="1"/>
  <c r="G35" i="4"/>
  <c r="H35" i="4"/>
  <c r="H33" i="4" s="1"/>
  <c r="I47" i="4" s="1"/>
  <c r="I35" i="4"/>
  <c r="J35" i="4"/>
  <c r="J33" i="4" s="1"/>
  <c r="K47" i="4" s="1"/>
  <c r="K35" i="4"/>
  <c r="B35" i="4"/>
  <c r="E34" i="4"/>
  <c r="F34" i="4"/>
  <c r="G34" i="4"/>
  <c r="H34" i="4"/>
  <c r="I34" i="4"/>
  <c r="J34" i="4"/>
  <c r="K34" i="4"/>
  <c r="D34" i="4"/>
  <c r="C34" i="4"/>
  <c r="B34" i="4"/>
  <c r="D32" i="4"/>
  <c r="E32" i="4"/>
  <c r="F32" i="4"/>
  <c r="G32" i="4"/>
  <c r="H32" i="4"/>
  <c r="I32" i="4"/>
  <c r="J32" i="4"/>
  <c r="K32" i="4"/>
  <c r="B32" i="4"/>
  <c r="E46" i="4"/>
  <c r="F46" i="4"/>
  <c r="G46" i="4"/>
  <c r="H46" i="4"/>
  <c r="I46" i="4"/>
  <c r="J46" i="4"/>
  <c r="K46" i="4"/>
  <c r="L46" i="4"/>
  <c r="B51" i="4"/>
  <c r="F58" i="4" s="1"/>
  <c r="E33" i="4"/>
  <c r="F47" i="4" s="1"/>
  <c r="G33" i="4"/>
  <c r="H47" i="4" s="1"/>
  <c r="I33" i="4"/>
  <c r="J47" i="4" s="1"/>
  <c r="K33" i="4"/>
  <c r="L47" i="4" s="1"/>
  <c r="B5" i="4"/>
  <c r="B45" i="4" s="1"/>
  <c r="B46" i="4"/>
  <c r="B47" i="4"/>
  <c r="B48" i="4"/>
  <c r="B49" i="4"/>
  <c r="B52" i="4"/>
  <c r="B9" i="4" l="1"/>
  <c r="C15" i="4" s="1"/>
  <c r="C33" i="4"/>
  <c r="D47" i="4" s="1"/>
  <c r="D33" i="4"/>
  <c r="E47" i="4" s="1"/>
  <c r="B33" i="4"/>
  <c r="C47" i="4" s="1"/>
  <c r="C46" i="4"/>
  <c r="B53" i="4"/>
  <c r="F57" i="4"/>
  <c r="F59" i="4" s="1"/>
  <c r="F61" i="4" s="1"/>
  <c r="B60" i="4"/>
  <c r="F60" i="4" l="1"/>
  <c r="F64" i="4" s="1"/>
  <c r="B58" i="4" s="1"/>
  <c r="C17" i="4"/>
  <c r="C21" i="4"/>
  <c r="C14" i="4"/>
  <c r="C18" i="4"/>
  <c r="C22" i="4"/>
  <c r="C19" i="4"/>
  <c r="C13" i="4"/>
  <c r="E13" i="4" s="1"/>
  <c r="C52" i="4" s="1"/>
  <c r="C16" i="4"/>
  <c r="C20" i="4"/>
  <c r="B14" i="4"/>
  <c r="B64" i="4"/>
  <c r="D14" i="4" l="1"/>
  <c r="E14" i="4" s="1"/>
  <c r="D52" i="4" s="1"/>
  <c r="B15" i="4" l="1"/>
  <c r="D15" i="4" l="1"/>
  <c r="E15" i="4" s="1"/>
  <c r="E52" i="4" s="1"/>
  <c r="D66" i="1"/>
  <c r="C66" i="1"/>
  <c r="D65" i="1"/>
  <c r="C65" i="1"/>
  <c r="D64" i="1"/>
  <c r="C64" i="1"/>
  <c r="D62" i="1"/>
  <c r="C62" i="1"/>
  <c r="L82" i="1"/>
  <c r="K82" i="1"/>
  <c r="J82" i="1"/>
  <c r="I82" i="1"/>
  <c r="H82" i="1"/>
  <c r="G82" i="1"/>
  <c r="F82" i="1"/>
  <c r="E82" i="1"/>
  <c r="D82" i="1"/>
  <c r="C82" i="1"/>
  <c r="L49" i="1"/>
  <c r="L77" i="1" s="1"/>
  <c r="K50" i="1"/>
  <c r="J50" i="1"/>
  <c r="I50" i="1"/>
  <c r="H49" i="1"/>
  <c r="H77" i="1" s="1"/>
  <c r="G50" i="1"/>
  <c r="F50" i="1"/>
  <c r="E50" i="1"/>
  <c r="D49" i="1"/>
  <c r="D77" i="1" s="1"/>
  <c r="C50" i="1"/>
  <c r="C81" i="1" s="1"/>
  <c r="E65" i="1" l="1"/>
  <c r="G65" i="1"/>
  <c r="D78" i="1"/>
  <c r="D79" i="1" s="1"/>
  <c r="L78" i="1"/>
  <c r="L79" i="1" s="1"/>
  <c r="C80" i="1"/>
  <c r="D93" i="1" s="1"/>
  <c r="H78" i="1"/>
  <c r="H79" i="1" s="1"/>
  <c r="E64" i="1"/>
  <c r="G64" i="1"/>
  <c r="E66" i="1"/>
  <c r="E72" i="1"/>
  <c r="F72" i="1" s="1"/>
  <c r="D137" i="1"/>
  <c r="F81" i="1"/>
  <c r="H137" i="1"/>
  <c r="J81" i="1"/>
  <c r="L137" i="1"/>
  <c r="C113" i="1"/>
  <c r="C115" i="1" s="1"/>
  <c r="C122" i="1" s="1"/>
  <c r="E122" i="1" s="1"/>
  <c r="C145" i="1" s="1"/>
  <c r="C90" i="1"/>
  <c r="C102" i="1" s="1"/>
  <c r="F49" i="1"/>
  <c r="F77" i="1" s="1"/>
  <c r="J49" i="1"/>
  <c r="J77" i="1" s="1"/>
  <c r="D50" i="1"/>
  <c r="H50" i="1"/>
  <c r="L50" i="1"/>
  <c r="E81" i="1"/>
  <c r="G81" i="1"/>
  <c r="I81" i="1"/>
  <c r="K81" i="1"/>
  <c r="E62" i="1"/>
  <c r="C49" i="1"/>
  <c r="E49" i="1"/>
  <c r="E77" i="1" s="1"/>
  <c r="G49" i="1"/>
  <c r="G77" i="1" s="1"/>
  <c r="I49" i="1"/>
  <c r="I77" i="1" s="1"/>
  <c r="K49" i="1"/>
  <c r="K77" i="1" s="1"/>
  <c r="D160" i="1" l="1"/>
  <c r="E78" i="1"/>
  <c r="E79" i="1" s="1"/>
  <c r="K78" i="1"/>
  <c r="K79" i="1" s="1"/>
  <c r="G80" i="1"/>
  <c r="H93" i="1" s="1"/>
  <c r="C140" i="1"/>
  <c r="D154" i="1" s="1"/>
  <c r="J78" i="1"/>
  <c r="J79" i="1" s="1"/>
  <c r="L138" i="1"/>
  <c r="L139" i="1" s="1"/>
  <c r="D138" i="1"/>
  <c r="D139" i="1" s="1"/>
  <c r="I80" i="1"/>
  <c r="J93" i="1" s="1"/>
  <c r="H138" i="1"/>
  <c r="H139" i="1" s="1"/>
  <c r="F80" i="1"/>
  <c r="G93" i="1" s="1"/>
  <c r="I78" i="1"/>
  <c r="I79" i="1" s="1"/>
  <c r="E80" i="1"/>
  <c r="F93" i="1" s="1"/>
  <c r="G78" i="1"/>
  <c r="G79" i="1" s="1"/>
  <c r="K80" i="1"/>
  <c r="L93" i="1" s="1"/>
  <c r="F78" i="1"/>
  <c r="F79" i="1" s="1"/>
  <c r="J80" i="1"/>
  <c r="K93" i="1" s="1"/>
  <c r="C118" i="1"/>
  <c r="C158" i="1"/>
  <c r="G166" i="1" s="1"/>
  <c r="B38" i="4"/>
  <c r="B16" i="4"/>
  <c r="K137" i="1"/>
  <c r="G137" i="1"/>
  <c r="C77" i="1"/>
  <c r="E71" i="1"/>
  <c r="F71" i="1" s="1"/>
  <c r="F73" i="1" s="1"/>
  <c r="E67" i="1"/>
  <c r="G62" i="1"/>
  <c r="H81" i="1"/>
  <c r="J137" i="1"/>
  <c r="C96" i="1"/>
  <c r="I137" i="1"/>
  <c r="E137" i="1"/>
  <c r="L81" i="1"/>
  <c r="D81" i="1"/>
  <c r="F137" i="1"/>
  <c r="D152" i="1" l="1"/>
  <c r="D91" i="1"/>
  <c r="M91" i="1"/>
  <c r="M152" i="1"/>
  <c r="F138" i="1"/>
  <c r="F139" i="1" s="1"/>
  <c r="I138" i="1"/>
  <c r="I139" i="1" s="1"/>
  <c r="G67" i="1"/>
  <c r="M95" i="1" s="1"/>
  <c r="M156" i="1" s="1"/>
  <c r="L50" i="4" s="1"/>
  <c r="G138" i="1"/>
  <c r="G139" i="1" s="1"/>
  <c r="I140" i="1"/>
  <c r="J154" i="1" s="1"/>
  <c r="E140" i="1"/>
  <c r="F154" i="1" s="1"/>
  <c r="J140" i="1"/>
  <c r="K154" i="1" s="1"/>
  <c r="D124" i="1"/>
  <c r="D128" i="1"/>
  <c r="D122" i="1"/>
  <c r="F122" i="1" s="1"/>
  <c r="D129" i="1"/>
  <c r="D130" i="1"/>
  <c r="D123" i="1"/>
  <c r="D127" i="1"/>
  <c r="D131" i="1"/>
  <c r="D125" i="1"/>
  <c r="D126" i="1"/>
  <c r="D80" i="1"/>
  <c r="E93" i="1" s="1"/>
  <c r="J84" i="1"/>
  <c r="F84" i="1"/>
  <c r="I84" i="1"/>
  <c r="E84" i="1"/>
  <c r="L84" i="1"/>
  <c r="H84" i="1"/>
  <c r="D84" i="1"/>
  <c r="K84" i="1"/>
  <c r="G84" i="1"/>
  <c r="C84" i="1"/>
  <c r="K138" i="1"/>
  <c r="K139" i="1" s="1"/>
  <c r="F140" i="1"/>
  <c r="G154" i="1" s="1"/>
  <c r="K140" i="1"/>
  <c r="L154" i="1" s="1"/>
  <c r="L80" i="1"/>
  <c r="M93" i="1" s="1"/>
  <c r="J138" i="1"/>
  <c r="J139" i="1" s="1"/>
  <c r="E138" i="1"/>
  <c r="E139" i="1" s="1"/>
  <c r="H80" i="1"/>
  <c r="I93" i="1" s="1"/>
  <c r="C78" i="1"/>
  <c r="C79" i="1" s="1"/>
  <c r="G140" i="1"/>
  <c r="H154" i="1" s="1"/>
  <c r="C157" i="1"/>
  <c r="C168" i="1"/>
  <c r="G165" i="1"/>
  <c r="C48" i="4"/>
  <c r="B36" i="4"/>
  <c r="B39" i="4" s="1"/>
  <c r="D16" i="4"/>
  <c r="E16" i="4" s="1"/>
  <c r="F52" i="4" s="1"/>
  <c r="C106" i="1"/>
  <c r="J92" i="1"/>
  <c r="K92" i="1"/>
  <c r="L92" i="1"/>
  <c r="C137" i="1"/>
  <c r="C138" i="1" l="1"/>
  <c r="C139" i="1" s="1"/>
  <c r="L140" i="1"/>
  <c r="M154" i="1" s="1"/>
  <c r="H140" i="1"/>
  <c r="I154" i="1" s="1"/>
  <c r="D140" i="1"/>
  <c r="E154" i="1" s="1"/>
  <c r="D159" i="1"/>
  <c r="C123" i="1"/>
  <c r="F92" i="1"/>
  <c r="B40" i="4"/>
  <c r="C49" i="4" s="1"/>
  <c r="G167" i="1"/>
  <c r="G169" i="1" s="1"/>
  <c r="G168" i="1"/>
  <c r="C172" i="1"/>
  <c r="C161" i="1"/>
  <c r="C45" i="4"/>
  <c r="H92" i="1"/>
  <c r="G92" i="1"/>
  <c r="D144" i="1"/>
  <c r="D83" i="1"/>
  <c r="D85" i="1" s="1"/>
  <c r="D86" i="1" s="1"/>
  <c r="L144" i="1"/>
  <c r="L83" i="1"/>
  <c r="L85" i="1" s="1"/>
  <c r="L86" i="1" s="1"/>
  <c r="J144" i="1"/>
  <c r="J83" i="1"/>
  <c r="J85" i="1" s="1"/>
  <c r="J86" i="1" s="1"/>
  <c r="E144" i="1"/>
  <c r="E83" i="1"/>
  <c r="E85" i="1" s="1"/>
  <c r="E86" i="1" s="1"/>
  <c r="I144" i="1"/>
  <c r="I83" i="1"/>
  <c r="I85" i="1" s="1"/>
  <c r="I86" i="1" s="1"/>
  <c r="H144" i="1"/>
  <c r="H83" i="1"/>
  <c r="H85" i="1" s="1"/>
  <c r="H86" i="1" s="1"/>
  <c r="F144" i="1"/>
  <c r="F83" i="1"/>
  <c r="F85" i="1" s="1"/>
  <c r="F86" i="1" s="1"/>
  <c r="C83" i="1"/>
  <c r="C144" i="1"/>
  <c r="C143" i="1" s="1"/>
  <c r="G144" i="1"/>
  <c r="G83" i="1"/>
  <c r="G85" i="1" s="1"/>
  <c r="G86" i="1" s="1"/>
  <c r="K83" i="1"/>
  <c r="K85" i="1" s="1"/>
  <c r="K86" i="1" s="1"/>
  <c r="K144" i="1"/>
  <c r="M92" i="1"/>
  <c r="E92" i="1"/>
  <c r="I92" i="1"/>
  <c r="C146" i="1" l="1"/>
  <c r="C147" i="1" s="1"/>
  <c r="G173" i="1"/>
  <c r="C166" i="1" s="1"/>
  <c r="E123" i="1"/>
  <c r="F123" i="1" s="1"/>
  <c r="E159" i="1" s="1"/>
  <c r="C53" i="4"/>
  <c r="B41" i="4"/>
  <c r="B17" i="4"/>
  <c r="M94" i="1"/>
  <c r="M96" i="1" s="1"/>
  <c r="I94" i="1"/>
  <c r="I96" i="1" s="1"/>
  <c r="E94" i="1"/>
  <c r="E96" i="1" s="1"/>
  <c r="F94" i="1"/>
  <c r="F96" i="1" s="1"/>
  <c r="L94" i="1"/>
  <c r="L96" i="1" s="1"/>
  <c r="H94" i="1"/>
  <c r="H96" i="1" s="1"/>
  <c r="G94" i="1"/>
  <c r="G96" i="1" s="1"/>
  <c r="D92" i="1"/>
  <c r="C85" i="1"/>
  <c r="C86" i="1" s="1"/>
  <c r="J94" i="1"/>
  <c r="J96" i="1" s="1"/>
  <c r="K94" i="1"/>
  <c r="K96" i="1" s="1"/>
  <c r="E160" i="1" l="1"/>
  <c r="D145" i="1"/>
  <c r="D143" i="1" s="1"/>
  <c r="D146" i="1" s="1"/>
  <c r="D147" i="1" s="1"/>
  <c r="C124" i="1"/>
  <c r="E124" i="1" s="1"/>
  <c r="F160" i="1" s="1"/>
  <c r="D17" i="4"/>
  <c r="E17" i="4" s="1"/>
  <c r="G52" i="4" s="1"/>
  <c r="D94" i="1"/>
  <c r="D96" i="1" s="1"/>
  <c r="C101" i="1" s="1"/>
  <c r="D155" i="1"/>
  <c r="C38" i="4" l="1"/>
  <c r="D48" i="4" s="1"/>
  <c r="C39" i="4"/>
  <c r="D157" i="1"/>
  <c r="C40" i="4"/>
  <c r="D49" i="4" s="1"/>
  <c r="E155" i="1"/>
  <c r="E157" i="1" s="1"/>
  <c r="E161" i="1" s="1"/>
  <c r="C41" i="4"/>
  <c r="C105" i="1"/>
  <c r="C107" i="1" s="1"/>
  <c r="E145" i="1"/>
  <c r="F124" i="1"/>
  <c r="F159" i="1" s="1"/>
  <c r="C36" i="4" l="1"/>
  <c r="D161" i="1"/>
  <c r="D38" i="4"/>
  <c r="B18" i="4"/>
  <c r="C99" i="1"/>
  <c r="C104" i="1" s="1"/>
  <c r="C125" i="1"/>
  <c r="E125" i="1" s="1"/>
  <c r="E143" i="1"/>
  <c r="E146" i="1" l="1"/>
  <c r="E147" i="1" s="1"/>
  <c r="E48" i="4"/>
  <c r="D36" i="4"/>
  <c r="D18" i="4"/>
  <c r="E18" i="4" s="1"/>
  <c r="H52" i="4" s="1"/>
  <c r="G160" i="1"/>
  <c r="D39" i="4" l="1"/>
  <c r="D40" i="4"/>
  <c r="E49" i="4" s="1"/>
  <c r="E53" i="4" s="1"/>
  <c r="F155" i="1"/>
  <c r="F157" i="1" s="1"/>
  <c r="D41" i="4"/>
  <c r="F145" i="1"/>
  <c r="F125" i="1"/>
  <c r="G159" i="1" s="1"/>
  <c r="F161" i="1" l="1"/>
  <c r="E38" i="4"/>
  <c r="B19" i="4"/>
  <c r="D19" i="4" s="1"/>
  <c r="E19" i="4" s="1"/>
  <c r="I52" i="4" s="1"/>
  <c r="C126" i="1"/>
  <c r="E126" i="1" s="1"/>
  <c r="F143" i="1"/>
  <c r="F146" i="1" l="1"/>
  <c r="F147" i="1" s="1"/>
  <c r="F48" i="4"/>
  <c r="E36" i="4"/>
  <c r="H160" i="1"/>
  <c r="E39" i="4" l="1"/>
  <c r="E40" i="4"/>
  <c r="F49" i="4" s="1"/>
  <c r="F53" i="4" s="1"/>
  <c r="G155" i="1"/>
  <c r="G157" i="1" s="1"/>
  <c r="E41" i="4"/>
  <c r="G145" i="1"/>
  <c r="F126" i="1"/>
  <c r="H159" i="1" s="1"/>
  <c r="G161" i="1" l="1"/>
  <c r="F38" i="4"/>
  <c r="B20" i="4"/>
  <c r="D20" i="4" s="1"/>
  <c r="E20" i="4" s="1"/>
  <c r="J52" i="4" s="1"/>
  <c r="C127" i="1"/>
  <c r="E127" i="1" s="1"/>
  <c r="G143" i="1"/>
  <c r="G146" i="1" l="1"/>
  <c r="G147" i="1" s="1"/>
  <c r="H155" i="1" s="1"/>
  <c r="H157" i="1" s="1"/>
  <c r="G48" i="4"/>
  <c r="F36" i="4"/>
  <c r="I160" i="1"/>
  <c r="F39" i="4" l="1"/>
  <c r="H161" i="1"/>
  <c r="F40" i="4"/>
  <c r="G49" i="4" s="1"/>
  <c r="G53" i="4" s="1"/>
  <c r="F41" i="4"/>
  <c r="H145" i="1"/>
  <c r="F127" i="1"/>
  <c r="I159" i="1" s="1"/>
  <c r="G38" i="4" l="1"/>
  <c r="B21" i="4"/>
  <c r="D21" i="4" s="1"/>
  <c r="E21" i="4" s="1"/>
  <c r="K52" i="4" s="1"/>
  <c r="C128" i="1"/>
  <c r="E128" i="1" s="1"/>
  <c r="H143" i="1"/>
  <c r="H146" i="1" l="1"/>
  <c r="H147" i="1" s="1"/>
  <c r="H48" i="4"/>
  <c r="G36" i="4"/>
  <c r="J160" i="1"/>
  <c r="G39" i="4" l="1"/>
  <c r="G40" i="4"/>
  <c r="H49" i="4" s="1"/>
  <c r="H53" i="4" s="1"/>
  <c r="I155" i="1"/>
  <c r="I157" i="1" s="1"/>
  <c r="I161" i="1" s="1"/>
  <c r="G41" i="4"/>
  <c r="I145" i="1"/>
  <c r="F128" i="1"/>
  <c r="J159" i="1" s="1"/>
  <c r="H38" i="4" l="1"/>
  <c r="B22" i="4"/>
  <c r="D22" i="4" s="1"/>
  <c r="E22" i="4" s="1"/>
  <c r="L52" i="4" s="1"/>
  <c r="C129" i="1"/>
  <c r="E129" i="1" s="1"/>
  <c r="I143" i="1"/>
  <c r="I146" i="1" l="1"/>
  <c r="I147" i="1" s="1"/>
  <c r="I48" i="4"/>
  <c r="H36" i="4"/>
  <c r="K160" i="1"/>
  <c r="H39" i="4" l="1"/>
  <c r="H40" i="4"/>
  <c r="I49" i="4" s="1"/>
  <c r="I53" i="4" s="1"/>
  <c r="J155" i="1"/>
  <c r="J157" i="1" s="1"/>
  <c r="J161" i="1" s="1"/>
  <c r="H41" i="4"/>
  <c r="J145" i="1"/>
  <c r="F129" i="1"/>
  <c r="K159" i="1" s="1"/>
  <c r="I38" i="4" l="1"/>
  <c r="C130" i="1"/>
  <c r="E130" i="1" s="1"/>
  <c r="J143" i="1"/>
  <c r="J146" i="1" l="1"/>
  <c r="J147" i="1" s="1"/>
  <c r="J48" i="4"/>
  <c r="I36" i="4"/>
  <c r="L160" i="1"/>
  <c r="I39" i="4" l="1"/>
  <c r="I40" i="4"/>
  <c r="J49" i="4" s="1"/>
  <c r="J53" i="4" s="1"/>
  <c r="K155" i="1"/>
  <c r="K157" i="1" s="1"/>
  <c r="K161" i="1" s="1"/>
  <c r="I41" i="4"/>
  <c r="K145" i="1"/>
  <c r="F130" i="1"/>
  <c r="L159" i="1" s="1"/>
  <c r="J38" i="4" l="1"/>
  <c r="C131" i="1"/>
  <c r="K143" i="1"/>
  <c r="K146" i="1" l="1"/>
  <c r="K147" i="1" s="1"/>
  <c r="L155" i="1" s="1"/>
  <c r="L157" i="1" s="1"/>
  <c r="L161" i="1" s="1"/>
  <c r="E131" i="1"/>
  <c r="M160" i="1" s="1"/>
  <c r="K48" i="4"/>
  <c r="J36" i="4"/>
  <c r="F131" i="1" l="1"/>
  <c r="M159" i="1" s="1"/>
  <c r="J39" i="4"/>
  <c r="L145" i="1"/>
  <c r="K38" i="4" s="1"/>
  <c r="J40" i="4"/>
  <c r="K49" i="4" s="1"/>
  <c r="K53" i="4" s="1"/>
  <c r="J41" i="4"/>
  <c r="L143" i="1" l="1"/>
  <c r="L146" i="1"/>
  <c r="L147" i="1" s="1"/>
  <c r="L48" i="4"/>
  <c r="K36" i="4"/>
  <c r="K39" i="4" l="1"/>
  <c r="K40" i="4"/>
  <c r="L49" i="4" s="1"/>
  <c r="L53" i="4" s="1"/>
  <c r="M155" i="1"/>
  <c r="M157" i="1" s="1"/>
  <c r="C167" i="1" s="1"/>
  <c r="K41" i="4"/>
  <c r="M161" i="1" l="1"/>
  <c r="C171" i="1"/>
  <c r="C173" i="1" s="1"/>
  <c r="C165" i="1"/>
  <c r="C32" i="4"/>
  <c r="D46" i="4" s="1"/>
  <c r="D53" i="4" s="1"/>
  <c r="C170" i="1" l="1"/>
  <c r="D183" i="1"/>
  <c r="B59" i="4"/>
  <c r="B63" i="4"/>
  <c r="B65" i="4" s="1"/>
  <c r="B57" i="4"/>
  <c r="B62" i="4" l="1"/>
  <c r="C72" i="4"/>
</calcChain>
</file>

<file path=xl/comments1.xml><?xml version="1.0" encoding="utf-8"?>
<comments xmlns="http://schemas.openxmlformats.org/spreadsheetml/2006/main">
  <authors>
    <author>Marlon Velasquez</author>
  </authors>
  <commentList>
    <comment ref="B28" authorId="0">
      <text>
        <r>
          <rPr>
            <b/>
            <sz val="9"/>
            <color indexed="81"/>
            <rFont val="Tahoma"/>
            <family val="2"/>
          </rPr>
          <t>Marlon Velasquez:</t>
        </r>
        <r>
          <rPr>
            <sz val="9"/>
            <color indexed="81"/>
            <rFont val="Tahoma"/>
            <family val="2"/>
          </rPr>
          <t xml:space="preserve">
Viene de Ventas del Cuadro 3</t>
        </r>
      </text>
    </comment>
    <comment ref="B29" authorId="0">
      <text>
        <r>
          <rPr>
            <b/>
            <sz val="9"/>
            <color indexed="81"/>
            <rFont val="Tahoma"/>
            <family val="2"/>
          </rPr>
          <t>Marlon Velasquez:</t>
        </r>
        <r>
          <rPr>
            <sz val="9"/>
            <color indexed="81"/>
            <rFont val="Tahoma"/>
            <family val="2"/>
          </rPr>
          <t xml:space="preserve">
Es el Resultado de multiplicar la Tasa del Impuesto de Ventas del Cuadro 2 por la Fila de Ventas del Cuadro 6</t>
        </r>
      </text>
    </comment>
    <comment ref="B30" authorId="0">
      <text>
        <r>
          <rPr>
            <b/>
            <sz val="9"/>
            <color indexed="81"/>
            <rFont val="Tahoma"/>
            <family val="2"/>
          </rPr>
          <t>Marlon Velasquez:</t>
        </r>
        <r>
          <rPr>
            <sz val="9"/>
            <color indexed="81"/>
            <rFont val="Tahoma"/>
            <family val="2"/>
          </rPr>
          <t xml:space="preserve">
Es el resultado de multiplicar la suma de Costos Variables y Costo Fijos del Cuadro 6 por el Impuesto de Ventas del Cuadro 2</t>
        </r>
      </text>
    </comment>
    <comment ref="B31" authorId="0">
      <text>
        <r>
          <rPr>
            <b/>
            <sz val="9"/>
            <color indexed="81"/>
            <rFont val="Tahoma"/>
            <family val="2"/>
          </rPr>
          <t>Marlon Velasquez:</t>
        </r>
        <r>
          <rPr>
            <sz val="9"/>
            <color indexed="81"/>
            <rFont val="Tahoma"/>
            <family val="2"/>
          </rPr>
          <t xml:space="preserve">
Es el resultado de multiplicar la Fila de Ventas del Cuadro 6 por el Impuesto a las Transacciones del Cuadro 2</t>
        </r>
      </text>
    </comment>
    <comment ref="B34" authorId="0">
      <text>
        <r>
          <rPr>
            <b/>
            <sz val="9"/>
            <color indexed="81"/>
            <rFont val="Tahoma"/>
            <family val="2"/>
          </rPr>
          <t>Marlon Velasquez:</t>
        </r>
        <r>
          <rPr>
            <sz val="9"/>
            <color indexed="81"/>
            <rFont val="Tahoma"/>
            <family val="2"/>
          </rPr>
          <t xml:space="preserve">
Viene del Cuadro 3
</t>
        </r>
      </text>
    </comment>
    <comment ref="B35" authorId="0">
      <text>
        <r>
          <rPr>
            <b/>
            <sz val="9"/>
            <color indexed="81"/>
            <rFont val="Tahoma"/>
            <family val="2"/>
          </rPr>
          <t>Marlon Velasquez:</t>
        </r>
        <r>
          <rPr>
            <sz val="9"/>
            <color indexed="81"/>
            <rFont val="Tahoma"/>
            <family val="2"/>
          </rPr>
          <t xml:space="preserve">
Viene del Cuadro 3
</t>
        </r>
      </text>
    </comment>
    <comment ref="B37" authorId="0">
      <text>
        <r>
          <rPr>
            <b/>
            <sz val="9"/>
            <color indexed="81"/>
            <rFont val="Tahoma"/>
            <family val="2"/>
          </rPr>
          <t>Marlon Velasquez:</t>
        </r>
        <r>
          <rPr>
            <sz val="9"/>
            <color indexed="81"/>
            <rFont val="Tahoma"/>
            <family val="2"/>
          </rPr>
          <t xml:space="preserve">
Viene del Cuadro 4
</t>
        </r>
      </text>
    </comment>
    <comment ref="B40" authorId="0">
      <text>
        <r>
          <rPr>
            <b/>
            <sz val="9"/>
            <color indexed="81"/>
            <rFont val="Tahoma"/>
            <family val="2"/>
          </rPr>
          <t>Marlon Velasquez:</t>
        </r>
        <r>
          <rPr>
            <sz val="9"/>
            <color indexed="81"/>
            <rFont val="Tahoma"/>
            <family val="2"/>
          </rPr>
          <t xml:space="preserve">
Es el resultado de multiplicar la Utilidad Bruta del Cuadro 10 por el Impuesto a las Utilidades del Cuadro 2 (22%)</t>
        </r>
      </text>
    </comment>
    <comment ref="B45" authorId="0">
      <text>
        <r>
          <rPr>
            <b/>
            <sz val="9"/>
            <color indexed="81"/>
            <rFont val="Tahoma"/>
            <family val="2"/>
          </rPr>
          <t>Marlon Velasquez:</t>
        </r>
        <r>
          <rPr>
            <sz val="9"/>
            <color indexed="81"/>
            <rFont val="Tahoma"/>
            <family val="2"/>
          </rPr>
          <t xml:space="preserve">
Viene del Cuadro 1, es negativo por ser un egreso</t>
        </r>
      </text>
    </comment>
    <comment ref="C45" authorId="0">
      <text>
        <r>
          <rPr>
            <b/>
            <sz val="9"/>
            <color indexed="81"/>
            <rFont val="Tahoma"/>
            <family val="2"/>
          </rPr>
          <t>Marlon Velasquez:</t>
        </r>
        <r>
          <rPr>
            <sz val="9"/>
            <color indexed="81"/>
            <rFont val="Tahoma"/>
            <family val="2"/>
          </rPr>
          <t xml:space="preserve">
Viene del Cuadro 5</t>
        </r>
      </text>
    </comment>
    <comment ref="C46" authorId="0">
      <text>
        <r>
          <rPr>
            <b/>
            <sz val="9"/>
            <color indexed="81"/>
            <rFont val="Tahoma"/>
            <family val="2"/>
          </rPr>
          <t>Marlon Velasquez:</t>
        </r>
        <r>
          <rPr>
            <sz val="9"/>
            <color indexed="81"/>
            <rFont val="Tahoma"/>
            <family val="2"/>
          </rPr>
          <t xml:space="preserve">
Viene de Ingreso Neto del Cuadro 6</t>
        </r>
      </text>
    </comment>
    <comment ref="C47" authorId="0">
      <text>
        <r>
          <rPr>
            <b/>
            <sz val="9"/>
            <color indexed="81"/>
            <rFont val="Tahoma"/>
            <family val="2"/>
          </rPr>
          <t>Marlon Velasquez:</t>
        </r>
        <r>
          <rPr>
            <sz val="9"/>
            <color indexed="81"/>
            <rFont val="Tahoma"/>
            <family val="2"/>
          </rPr>
          <t xml:space="preserve">
Viene de Costos Operativos del Cuadro 6</t>
        </r>
      </text>
    </comment>
    <comment ref="C48" authorId="0">
      <text>
        <r>
          <rPr>
            <b/>
            <sz val="9"/>
            <color indexed="81"/>
            <rFont val="Tahoma"/>
            <family val="2"/>
          </rPr>
          <t>Marlon Velasquez:</t>
        </r>
        <r>
          <rPr>
            <sz val="9"/>
            <color indexed="81"/>
            <rFont val="Tahoma"/>
            <family val="2"/>
          </rPr>
          <t xml:space="preserve">
Viene del Cuadro 9</t>
        </r>
      </text>
    </comment>
    <comment ref="C49" authorId="0">
      <text>
        <r>
          <rPr>
            <b/>
            <sz val="9"/>
            <color indexed="81"/>
            <rFont val="Tahoma"/>
            <family val="2"/>
          </rPr>
          <t>Marlon Velasquez:</t>
        </r>
        <r>
          <rPr>
            <sz val="9"/>
            <color indexed="81"/>
            <rFont val="Tahoma"/>
            <family val="2"/>
          </rPr>
          <t xml:space="preserve">
A los Ingresos se le resta los Costos Operativos, los Costos Financieros, la Depreciación, y al resultado se le multiplica por 25% de impuestos</t>
        </r>
      </text>
    </comment>
    <comment ref="L50" authorId="0">
      <text>
        <r>
          <rPr>
            <b/>
            <sz val="9"/>
            <color indexed="81"/>
            <rFont val="Tahoma"/>
            <charset val="1"/>
          </rPr>
          <t>Marlon Velasquez:</t>
        </r>
        <r>
          <rPr>
            <sz val="9"/>
            <color indexed="81"/>
            <rFont val="Tahoma"/>
            <charset val="1"/>
          </rPr>
          <t xml:space="preserve">
Viene del Valor de Desecho de las Obras Civiles del Cuadro 4</t>
        </r>
      </text>
    </comment>
    <comment ref="B51" authorId="0">
      <text>
        <r>
          <rPr>
            <b/>
            <sz val="9"/>
            <color indexed="81"/>
            <rFont val="Tahoma"/>
            <family val="2"/>
          </rPr>
          <t>Marlon Velasquez:</t>
        </r>
        <r>
          <rPr>
            <sz val="9"/>
            <color indexed="81"/>
            <rFont val="Tahoma"/>
            <family val="2"/>
          </rPr>
          <t xml:space="preserve">
Viene del Cuadro 8
</t>
        </r>
      </text>
    </comment>
    <comment ref="C52" authorId="0">
      <text>
        <r>
          <rPr>
            <b/>
            <sz val="9"/>
            <color indexed="81"/>
            <rFont val="Tahoma"/>
            <family val="2"/>
          </rPr>
          <t>Marlon Velasquez:</t>
        </r>
        <r>
          <rPr>
            <sz val="9"/>
            <color indexed="81"/>
            <rFont val="Tahoma"/>
            <family val="2"/>
          </rPr>
          <t xml:space="preserve">
Viene del Cuadro 9
</t>
        </r>
      </text>
    </comment>
    <comment ref="B57" authorId="0">
      <text>
        <r>
          <rPr>
            <b/>
            <sz val="9"/>
            <color indexed="81"/>
            <rFont val="Tahoma"/>
            <family val="2"/>
          </rPr>
          <t>Marlon Velasquez:</t>
        </r>
        <r>
          <rPr>
            <sz val="9"/>
            <color indexed="81"/>
            <rFont val="Tahoma"/>
            <family val="2"/>
          </rPr>
          <t xml:space="preserve">
Es el Valor de todos flujos traídos a valor presente con la tasa ponderada del proyecto</t>
        </r>
      </text>
    </comment>
    <comment ref="F57" authorId="0">
      <text>
        <r>
          <rPr>
            <b/>
            <sz val="9"/>
            <color indexed="81"/>
            <rFont val="Tahoma"/>
            <family val="2"/>
          </rPr>
          <t>Marlon Velasquez:</t>
        </r>
        <r>
          <rPr>
            <sz val="9"/>
            <color indexed="81"/>
            <rFont val="Tahoma"/>
            <family val="2"/>
          </rPr>
          <t xml:space="preserve">
Viene del Cuadro 11 de la línea de Inversión en el Año 0.</t>
        </r>
      </text>
    </comment>
    <comment ref="B58" authorId="0">
      <text>
        <r>
          <rPr>
            <b/>
            <sz val="9"/>
            <color indexed="81"/>
            <rFont val="Tahoma"/>
            <family val="2"/>
          </rPr>
          <t>Marlon Velasquez:</t>
        </r>
        <r>
          <rPr>
            <sz val="9"/>
            <color indexed="81"/>
            <rFont val="Tahoma"/>
            <family val="2"/>
          </rPr>
          <t xml:space="preserve">
Por ser un proyecto financiado, entonces se calcula una tasa ponderada entre la tasa de Rendimiento que quiere el inversionista y la tasa de financiamiento.</t>
        </r>
      </text>
    </comment>
    <comment ref="F58" authorId="0">
      <text>
        <r>
          <rPr>
            <b/>
            <sz val="9"/>
            <color indexed="81"/>
            <rFont val="Tahoma"/>
            <family val="2"/>
          </rPr>
          <t>Marlon Velasquez:</t>
        </r>
        <r>
          <rPr>
            <sz val="9"/>
            <color indexed="81"/>
            <rFont val="Tahoma"/>
            <family val="2"/>
          </rPr>
          <t xml:space="preserve">
Viene del Cuadro 11 de la línea de Préstamo o Deuda en el Año 0.</t>
        </r>
      </text>
    </comment>
    <comment ref="B59" authorId="0">
      <text>
        <r>
          <rPr>
            <b/>
            <sz val="9"/>
            <color indexed="81"/>
            <rFont val="Tahoma"/>
            <family val="2"/>
          </rPr>
          <t>Marlon Velasquez:</t>
        </r>
        <r>
          <rPr>
            <sz val="9"/>
            <color indexed="81"/>
            <rFont val="Tahoma"/>
            <family val="2"/>
          </rPr>
          <t xml:space="preserve">
Es la tasa donde el VAN del proyecto se hace 0.</t>
        </r>
      </text>
    </comment>
    <comment ref="F59" authorId="0">
      <text>
        <r>
          <rPr>
            <b/>
            <sz val="9"/>
            <color indexed="81"/>
            <rFont val="Tahoma"/>
            <family val="2"/>
          </rPr>
          <t>Marlon Velasquez:</t>
        </r>
        <r>
          <rPr>
            <sz val="9"/>
            <color indexed="81"/>
            <rFont val="Tahoma"/>
            <family val="2"/>
          </rPr>
          <t xml:space="preserve">
Diferencia entre la Inversión y el Préstamo</t>
        </r>
      </text>
    </comment>
    <comment ref="F60" authorId="0">
      <text>
        <r>
          <rPr>
            <b/>
            <sz val="9"/>
            <color indexed="81"/>
            <rFont val="Tahoma"/>
            <family val="2"/>
          </rPr>
          <t>Marlon Velasquez:</t>
        </r>
        <r>
          <rPr>
            <sz val="9"/>
            <color indexed="81"/>
            <rFont val="Tahoma"/>
            <family val="2"/>
          </rPr>
          <t xml:space="preserve">
Porcentaje del Capital Propio en relación con la Inversión </t>
        </r>
      </text>
    </comment>
    <comment ref="F61" authorId="0">
      <text>
        <r>
          <rPr>
            <b/>
            <sz val="9"/>
            <color indexed="81"/>
            <rFont val="Tahoma"/>
            <family val="2"/>
          </rPr>
          <t>Marlon Velasquez:</t>
        </r>
        <r>
          <rPr>
            <sz val="9"/>
            <color indexed="81"/>
            <rFont val="Tahoma"/>
            <family val="2"/>
          </rPr>
          <t xml:space="preserve">
Porcentaje del Préstamo en relación con la Inversión </t>
        </r>
      </text>
    </comment>
    <comment ref="B62" authorId="0">
      <text>
        <r>
          <rPr>
            <b/>
            <sz val="9"/>
            <color indexed="81"/>
            <rFont val="Tahoma"/>
            <family val="2"/>
          </rPr>
          <t>Marlon Velasquez:</t>
        </r>
        <r>
          <rPr>
            <sz val="9"/>
            <color indexed="81"/>
            <rFont val="Tahoma"/>
            <family val="2"/>
          </rPr>
          <t xml:space="preserve">
Es el VAN dividido entre la Inversión</t>
        </r>
      </text>
    </comment>
    <comment ref="F62" authorId="0">
      <text>
        <r>
          <rPr>
            <b/>
            <sz val="9"/>
            <color indexed="81"/>
            <rFont val="Tahoma"/>
            <family val="2"/>
          </rPr>
          <t>Marlon Velasquez:</t>
        </r>
        <r>
          <rPr>
            <sz val="9"/>
            <color indexed="81"/>
            <rFont val="Tahoma"/>
            <family val="2"/>
          </rPr>
          <t xml:space="preserve">
Es la tasa de financiamiento definida por la entidad que presta el dinero.</t>
        </r>
      </text>
    </comment>
    <comment ref="B63" authorId="0">
      <text>
        <r>
          <rPr>
            <b/>
            <sz val="9"/>
            <color indexed="81"/>
            <rFont val="Tahoma"/>
            <family val="2"/>
          </rPr>
          <t>Marlon Velasquez:</t>
        </r>
        <r>
          <rPr>
            <sz val="9"/>
            <color indexed="81"/>
            <rFont val="Tahoma"/>
            <family val="2"/>
          </rPr>
          <t xml:space="preserve">
Viene del Cuadro 11, es el Valor Presente de lo Flujos Positivos del Flujo Neto</t>
        </r>
      </text>
    </comment>
    <comment ref="F63" authorId="0">
      <text>
        <r>
          <rPr>
            <b/>
            <sz val="9"/>
            <color indexed="81"/>
            <rFont val="Tahoma"/>
            <family val="2"/>
          </rPr>
          <t>Marlon Velasquez:</t>
        </r>
        <r>
          <rPr>
            <sz val="9"/>
            <color indexed="81"/>
            <rFont val="Tahoma"/>
            <family val="2"/>
          </rPr>
          <t xml:space="preserve">
La Rentabilidad que espera la empresa se determina tomando en consideración la Tasa libre de riesgo a la mejor opción existente al momento de evaluar el proyecto, a la tasa de retorno esperada para el mercado, al coeficiente BETA y para ciertos análisis se agrega la tasa por por riesgo de pais. Para efectos del curso, no se va a entrar en detalle como se hace el cálculo de la Tasa de rentabilidad del Capital propio, sencillamente se indica la tasa.</t>
        </r>
      </text>
    </comment>
    <comment ref="B64" authorId="0">
      <text>
        <r>
          <rPr>
            <b/>
            <sz val="9"/>
            <color indexed="81"/>
            <rFont val="Tahoma"/>
            <family val="2"/>
          </rPr>
          <t>Marlon Velasquez:</t>
        </r>
        <r>
          <rPr>
            <sz val="9"/>
            <color indexed="81"/>
            <rFont val="Tahoma"/>
            <family val="2"/>
          </rPr>
          <t xml:space="preserve">
Viene del Cuadro 11, es el Valor Presente de los Flujos Negativos del Flujo Neto</t>
        </r>
      </text>
    </comment>
    <comment ref="F64" authorId="0">
      <text>
        <r>
          <rPr>
            <b/>
            <sz val="9"/>
            <color indexed="81"/>
            <rFont val="Tahoma"/>
            <family val="2"/>
          </rPr>
          <t>Marlon Velasquez:</t>
        </r>
        <r>
          <rPr>
            <sz val="9"/>
            <color indexed="81"/>
            <rFont val="Tahoma"/>
            <family val="2"/>
          </rPr>
          <t xml:space="preserve">
La tasa Ponderada para el proyecto se obtiene de sumar                                      (Prest/Inv)*Tasa Prest. + (Cap. Prop./Inv)*Tasa Cap. Prop</t>
        </r>
      </text>
    </comment>
    <comment ref="B65" authorId="0">
      <text>
        <r>
          <rPr>
            <b/>
            <sz val="9"/>
            <color indexed="81"/>
            <rFont val="Tahoma"/>
            <family val="2"/>
          </rPr>
          <t>Marlon Velasquez:</t>
        </r>
        <r>
          <rPr>
            <sz val="9"/>
            <color indexed="81"/>
            <rFont val="Tahoma"/>
            <family val="2"/>
          </rPr>
          <t xml:space="preserve">
Es la división entre Valor Presente Flujos Positivos y los Negativos.</t>
        </r>
      </text>
    </comment>
  </commentList>
</comments>
</file>

<file path=xl/comments2.xml><?xml version="1.0" encoding="utf-8"?>
<comments xmlns="http://schemas.openxmlformats.org/spreadsheetml/2006/main">
  <authors>
    <author>Marlon Velasquez</author>
    <author>Bolivar Solorzano</author>
  </authors>
  <commentList>
    <comment ref="C48" authorId="0">
      <text>
        <r>
          <rPr>
            <b/>
            <sz val="9"/>
            <color indexed="81"/>
            <rFont val="Tahoma"/>
            <family val="2"/>
          </rPr>
          <t>Marlon Velasquez:</t>
        </r>
        <r>
          <rPr>
            <sz val="9"/>
            <color indexed="81"/>
            <rFont val="Tahoma"/>
            <family val="2"/>
          </rPr>
          <t xml:space="preserve">
Es el resultado de multiplicar Cantidad a vender al 100%(u/año) del Cuadro 2 por la Fila Prog. Prod.(%) del Cuadro 3.</t>
        </r>
      </text>
    </comment>
    <comment ref="C49" authorId="0">
      <text>
        <r>
          <rPr>
            <b/>
            <sz val="9"/>
            <color indexed="81"/>
            <rFont val="Tahoma"/>
            <family val="2"/>
          </rPr>
          <t>Marlon Velasquez:</t>
        </r>
        <r>
          <rPr>
            <sz val="9"/>
            <color indexed="81"/>
            <rFont val="Tahoma"/>
            <family val="2"/>
          </rPr>
          <t xml:space="preserve">
Es el resultado de multiplicar Precio de Venta del Cuadro 2 por la Producción del Cuadro 3.</t>
        </r>
      </text>
    </comment>
    <comment ref="C50" authorId="0">
      <text>
        <r>
          <rPr>
            <b/>
            <sz val="9"/>
            <color indexed="81"/>
            <rFont val="Tahoma"/>
            <family val="2"/>
          </rPr>
          <t>Marlon Velasquez:</t>
        </r>
        <r>
          <rPr>
            <sz val="9"/>
            <color indexed="81"/>
            <rFont val="Tahoma"/>
            <family val="2"/>
          </rPr>
          <t xml:space="preserve">
Es el Resultado de multiplicar el Costo Variable del Cuadro 2 por la Producción del Cuadro 3</t>
        </r>
      </text>
    </comment>
    <comment ref="C51" authorId="0">
      <text>
        <r>
          <rPr>
            <b/>
            <sz val="9"/>
            <color indexed="81"/>
            <rFont val="Tahoma"/>
            <family val="2"/>
          </rPr>
          <t>Marlon Velasquez:</t>
        </r>
        <r>
          <rPr>
            <sz val="9"/>
            <color indexed="81"/>
            <rFont val="Tahoma"/>
            <family val="2"/>
          </rPr>
          <t xml:space="preserve">
Es el Costo Fijo del Cuadro 2, el supuesto es que es igual para todos los años.</t>
        </r>
      </text>
    </comment>
    <comment ref="C62" authorId="0">
      <text>
        <r>
          <rPr>
            <b/>
            <sz val="9"/>
            <color indexed="81"/>
            <rFont val="Tahoma"/>
            <family val="2"/>
          </rPr>
          <t>Marlon Velasquez:</t>
        </r>
        <r>
          <rPr>
            <sz val="9"/>
            <color indexed="81"/>
            <rFont val="Tahoma"/>
            <family val="2"/>
          </rPr>
          <t xml:space="preserve">
Viene del Cuadro 1
</t>
        </r>
      </text>
    </comment>
    <comment ref="D62" authorId="0">
      <text>
        <r>
          <rPr>
            <b/>
            <sz val="9"/>
            <color indexed="81"/>
            <rFont val="Tahoma"/>
            <family val="2"/>
          </rPr>
          <t>Marlon Velasquez:</t>
        </r>
        <r>
          <rPr>
            <sz val="9"/>
            <color indexed="81"/>
            <rFont val="Tahoma"/>
            <family val="2"/>
          </rPr>
          <t xml:space="preserve">
Viene del Cuadro 1
</t>
        </r>
      </text>
    </comment>
    <comment ref="G62" authorId="1">
      <text>
        <r>
          <rPr>
            <b/>
            <sz val="9"/>
            <color indexed="81"/>
            <rFont val="Tahoma"/>
            <charset val="1"/>
          </rPr>
          <t>Bolivar Solorzano:</t>
        </r>
        <r>
          <rPr>
            <sz val="9"/>
            <color indexed="81"/>
            <rFont val="Tahoma"/>
            <charset val="1"/>
          </rPr>
          <t xml:space="preserve">
Valor residual igual al valor contable.</t>
        </r>
      </text>
    </comment>
    <comment ref="G63" authorId="1">
      <text>
        <r>
          <rPr>
            <b/>
            <sz val="9"/>
            <color indexed="81"/>
            <rFont val="Tahoma"/>
            <charset val="1"/>
          </rPr>
          <t>Bolivar Solorzano:</t>
        </r>
        <r>
          <rPr>
            <sz val="9"/>
            <color indexed="81"/>
            <rFont val="Tahoma"/>
            <charset val="1"/>
          </rPr>
          <t xml:space="preserve">
Terrenos no se deprecian.</t>
        </r>
      </text>
    </comment>
    <comment ref="G64" authorId="1">
      <text>
        <r>
          <rPr>
            <b/>
            <sz val="9"/>
            <color indexed="81"/>
            <rFont val="Tahoma"/>
            <charset val="1"/>
          </rPr>
          <t>Bolivar Solorzano:</t>
        </r>
        <r>
          <rPr>
            <sz val="9"/>
            <color indexed="81"/>
            <rFont val="Tahoma"/>
            <charset val="1"/>
          </rPr>
          <t xml:space="preserve">
Valor residual igual al 10% del valor de compra.</t>
        </r>
      </text>
    </comment>
    <comment ref="G65" authorId="1">
      <text>
        <r>
          <rPr>
            <b/>
            <sz val="9"/>
            <color indexed="81"/>
            <rFont val="Tahoma"/>
            <charset val="1"/>
          </rPr>
          <t>Bolivar Solorzano:</t>
        </r>
        <r>
          <rPr>
            <sz val="9"/>
            <color indexed="81"/>
            <rFont val="Tahoma"/>
            <charset val="1"/>
          </rPr>
          <t xml:space="preserve">
Valor residual igual al 20% del valor de compra.</t>
        </r>
      </text>
    </comment>
    <comment ref="D71" authorId="0">
      <text>
        <r>
          <rPr>
            <b/>
            <sz val="9"/>
            <color indexed="81"/>
            <rFont val="Tahoma"/>
            <family val="2"/>
          </rPr>
          <t>Marlon Velasquez:</t>
        </r>
        <r>
          <rPr>
            <sz val="9"/>
            <color indexed="81"/>
            <rFont val="Tahoma"/>
            <family val="2"/>
          </rPr>
          <t xml:space="preserve">
Es un Supuesto</t>
        </r>
      </text>
    </comment>
    <comment ref="D72" authorId="0">
      <text>
        <r>
          <rPr>
            <b/>
            <sz val="9"/>
            <color indexed="81"/>
            <rFont val="Tahoma"/>
            <family val="2"/>
          </rPr>
          <t>Marlon Velasquez:</t>
        </r>
        <r>
          <rPr>
            <sz val="9"/>
            <color indexed="81"/>
            <rFont val="Tahoma"/>
            <family val="2"/>
          </rPr>
          <t xml:space="preserve">
Es un Supuesto
</t>
        </r>
      </text>
    </comment>
    <comment ref="C73" authorId="0">
      <text>
        <r>
          <rPr>
            <b/>
            <sz val="9"/>
            <color indexed="81"/>
            <rFont val="Tahoma"/>
            <family val="2"/>
          </rPr>
          <t>Marlon Velasquez:</t>
        </r>
        <r>
          <rPr>
            <sz val="9"/>
            <color indexed="81"/>
            <rFont val="Tahoma"/>
            <family val="2"/>
          </rPr>
          <t xml:space="preserve">
Es una Fórmula Contable de la Balance de una empresa
</t>
        </r>
      </text>
    </comment>
    <comment ref="C77" authorId="0">
      <text>
        <r>
          <rPr>
            <b/>
            <sz val="9"/>
            <color indexed="81"/>
            <rFont val="Tahoma"/>
            <family val="2"/>
          </rPr>
          <t>Marlon Velasquez:</t>
        </r>
        <r>
          <rPr>
            <sz val="9"/>
            <color indexed="81"/>
            <rFont val="Tahoma"/>
            <family val="2"/>
          </rPr>
          <t xml:space="preserve">
Viene de Ventas del Cuadro 3</t>
        </r>
      </text>
    </comment>
    <comment ref="C78" authorId="0">
      <text>
        <r>
          <rPr>
            <b/>
            <sz val="9"/>
            <color indexed="81"/>
            <rFont val="Tahoma"/>
            <family val="2"/>
          </rPr>
          <t>Marlon Velasquez:</t>
        </r>
        <r>
          <rPr>
            <sz val="9"/>
            <color indexed="81"/>
            <rFont val="Tahoma"/>
            <family val="2"/>
          </rPr>
          <t xml:space="preserve">
Es el Resultado de multiplicarel porcentaje de comisiones sobre ventas del Cuadro 2 por la Fila de Ventas del Cuadro 6</t>
        </r>
      </text>
    </comment>
    <comment ref="C80" authorId="1">
      <text>
        <r>
          <rPr>
            <b/>
            <sz val="9"/>
            <color indexed="81"/>
            <rFont val="Tahoma"/>
            <family val="2"/>
          </rPr>
          <t>Bolivar Solorzano:</t>
        </r>
        <r>
          <rPr>
            <sz val="9"/>
            <color indexed="81"/>
            <rFont val="Tahoma"/>
            <family val="2"/>
          </rPr>
          <t xml:space="preserve">
Suma de costos fijos y costos variables del Cuadro 6.</t>
        </r>
      </text>
    </comment>
    <comment ref="C81" authorId="0">
      <text>
        <r>
          <rPr>
            <b/>
            <sz val="9"/>
            <color indexed="81"/>
            <rFont val="Tahoma"/>
            <family val="2"/>
          </rPr>
          <t>Marlon Velasquez:</t>
        </r>
        <r>
          <rPr>
            <sz val="9"/>
            <color indexed="81"/>
            <rFont val="Tahoma"/>
            <family val="2"/>
          </rPr>
          <t xml:space="preserve">
Viene del Cuadro 3
</t>
        </r>
      </text>
    </comment>
    <comment ref="C82" authorId="0">
      <text>
        <r>
          <rPr>
            <b/>
            <sz val="9"/>
            <color indexed="81"/>
            <rFont val="Tahoma"/>
            <family val="2"/>
          </rPr>
          <t>Marlon Velasquez:</t>
        </r>
        <r>
          <rPr>
            <sz val="9"/>
            <color indexed="81"/>
            <rFont val="Tahoma"/>
            <family val="2"/>
          </rPr>
          <t xml:space="preserve">
Viene del Cuadro 3
</t>
        </r>
      </text>
    </comment>
    <comment ref="C84" authorId="0">
      <text>
        <r>
          <rPr>
            <b/>
            <sz val="9"/>
            <color indexed="81"/>
            <rFont val="Tahoma"/>
            <family val="2"/>
          </rPr>
          <t>Marlon Velasquez:</t>
        </r>
        <r>
          <rPr>
            <sz val="9"/>
            <color indexed="81"/>
            <rFont val="Tahoma"/>
            <family val="2"/>
          </rPr>
          <t xml:space="preserve">
Viene del Cuadro 4
</t>
        </r>
      </text>
    </comment>
    <comment ref="C86" authorId="0">
      <text>
        <r>
          <rPr>
            <b/>
            <sz val="9"/>
            <color indexed="81"/>
            <rFont val="Tahoma"/>
            <family val="2"/>
          </rPr>
          <t>Marlon Velasquez:</t>
        </r>
        <r>
          <rPr>
            <sz val="9"/>
            <color indexed="81"/>
            <rFont val="Tahoma"/>
            <family val="2"/>
          </rPr>
          <t xml:space="preserve">
Es el resultado de multiplicar la Utilidad Bruta del Cuadro 6 por el Impuesto a las Utilidades del Cuadro 2</t>
        </r>
      </text>
    </comment>
    <comment ref="C90" authorId="0">
      <text>
        <r>
          <rPr>
            <b/>
            <sz val="9"/>
            <color indexed="81"/>
            <rFont val="Tahoma"/>
            <family val="2"/>
          </rPr>
          <t>Marlon Velasquez:</t>
        </r>
        <r>
          <rPr>
            <sz val="9"/>
            <color indexed="81"/>
            <rFont val="Tahoma"/>
            <family val="2"/>
          </rPr>
          <t xml:space="preserve">
Viene del Cuadro 1, es negativo por ser un egreso</t>
        </r>
      </text>
    </comment>
    <comment ref="D91" authorId="0">
      <text>
        <r>
          <rPr>
            <b/>
            <sz val="9"/>
            <color indexed="81"/>
            <rFont val="Tahoma"/>
            <family val="2"/>
          </rPr>
          <t>Marlon Velasquez:</t>
        </r>
        <r>
          <rPr>
            <sz val="9"/>
            <color indexed="81"/>
            <rFont val="Tahoma"/>
            <family val="2"/>
          </rPr>
          <t xml:space="preserve">
Viene del Cuadro 5</t>
        </r>
      </text>
    </comment>
    <comment ref="D92" authorId="0">
      <text>
        <r>
          <rPr>
            <b/>
            <sz val="9"/>
            <color indexed="81"/>
            <rFont val="Tahoma"/>
            <family val="2"/>
          </rPr>
          <t>Marlon Velasquez:</t>
        </r>
        <r>
          <rPr>
            <sz val="9"/>
            <color indexed="81"/>
            <rFont val="Tahoma"/>
            <family val="2"/>
          </rPr>
          <t xml:space="preserve">
Viene de Ingreso Neto del Cuadro 6</t>
        </r>
      </text>
    </comment>
    <comment ref="D93" authorId="0">
      <text>
        <r>
          <rPr>
            <b/>
            <sz val="9"/>
            <color indexed="81"/>
            <rFont val="Tahoma"/>
            <family val="2"/>
          </rPr>
          <t>Marlon Velasquez:</t>
        </r>
        <r>
          <rPr>
            <sz val="9"/>
            <color indexed="81"/>
            <rFont val="Tahoma"/>
            <family val="2"/>
          </rPr>
          <t xml:space="preserve">
Viene de Costos Operativos del Cuadro 6</t>
        </r>
      </text>
    </comment>
    <comment ref="D94" authorId="0">
      <text>
        <r>
          <rPr>
            <b/>
            <sz val="9"/>
            <color indexed="81"/>
            <rFont val="Tahoma"/>
            <family val="2"/>
          </rPr>
          <t>Marlon Velasquez:</t>
        </r>
        <r>
          <rPr>
            <sz val="9"/>
            <color indexed="81"/>
            <rFont val="Tahoma"/>
            <family val="2"/>
          </rPr>
          <t xml:space="preserve">
Viene de Impuestos a utilidades del Cuadro 6</t>
        </r>
      </text>
    </comment>
    <comment ref="M95" authorId="0">
      <text>
        <r>
          <rPr>
            <b/>
            <sz val="9"/>
            <color indexed="81"/>
            <rFont val="Tahoma"/>
            <charset val="1"/>
          </rPr>
          <t>Marlon Velasquez:</t>
        </r>
        <r>
          <rPr>
            <sz val="9"/>
            <color indexed="81"/>
            <rFont val="Tahoma"/>
            <charset val="1"/>
          </rPr>
          <t xml:space="preserve">
Viene del Valor de Desecho de los activos del Cuadro 4</t>
        </r>
      </text>
    </comment>
    <comment ref="C99" authorId="0">
      <text>
        <r>
          <rPr>
            <b/>
            <sz val="9"/>
            <color indexed="81"/>
            <rFont val="Tahoma"/>
            <family val="2"/>
          </rPr>
          <t>Marlon Velasquez:</t>
        </r>
        <r>
          <rPr>
            <sz val="9"/>
            <color indexed="81"/>
            <rFont val="Tahoma"/>
            <family val="2"/>
          </rPr>
          <t xml:space="preserve">
Es el Valor de todos flujos traídos a valor presente con la tasa de rendimiento de capital proprio</t>
        </r>
      </text>
    </comment>
    <comment ref="C100" authorId="0">
      <text>
        <r>
          <rPr>
            <b/>
            <sz val="9"/>
            <color indexed="81"/>
            <rFont val="Tahoma"/>
            <family val="2"/>
          </rPr>
          <t>Marlon Velasquez:</t>
        </r>
        <r>
          <rPr>
            <sz val="9"/>
            <color indexed="81"/>
            <rFont val="Tahoma"/>
            <family val="2"/>
          </rPr>
          <t xml:space="preserve">
Por ser un proyecto financiado con Capital Propio, entonces sólo se utiliza la tasa de Rendimiento que quiere el inversionista.</t>
        </r>
      </text>
    </comment>
    <comment ref="C101" authorId="0">
      <text>
        <r>
          <rPr>
            <b/>
            <sz val="9"/>
            <color indexed="81"/>
            <rFont val="Tahoma"/>
            <family val="2"/>
          </rPr>
          <t>Marlon Velasquez:</t>
        </r>
        <r>
          <rPr>
            <sz val="9"/>
            <color indexed="81"/>
            <rFont val="Tahoma"/>
            <family val="2"/>
          </rPr>
          <t xml:space="preserve">
Es la tasa donde el VAN del proyecto se hace 0.</t>
        </r>
      </text>
    </comment>
    <comment ref="C104" authorId="0">
      <text>
        <r>
          <rPr>
            <b/>
            <sz val="9"/>
            <color indexed="81"/>
            <rFont val="Tahoma"/>
            <family val="2"/>
          </rPr>
          <t>Marlon Velasquez:</t>
        </r>
        <r>
          <rPr>
            <sz val="9"/>
            <color indexed="81"/>
            <rFont val="Tahoma"/>
            <family val="2"/>
          </rPr>
          <t xml:space="preserve">
Es el VAN dividido entre la Inversión</t>
        </r>
      </text>
    </comment>
    <comment ref="C105" authorId="0">
      <text>
        <r>
          <rPr>
            <b/>
            <sz val="9"/>
            <color indexed="81"/>
            <rFont val="Tahoma"/>
            <family val="2"/>
          </rPr>
          <t>Marlon Velasquez:</t>
        </r>
        <r>
          <rPr>
            <sz val="9"/>
            <color indexed="81"/>
            <rFont val="Tahoma"/>
            <family val="2"/>
          </rPr>
          <t xml:space="preserve">
Viene del Cuadro 7, es el Valor Presente de los Flujos Positivos del Flujo Neto</t>
        </r>
      </text>
    </comment>
    <comment ref="C106" authorId="0">
      <text>
        <r>
          <rPr>
            <b/>
            <sz val="9"/>
            <color indexed="81"/>
            <rFont val="Tahoma"/>
            <family val="2"/>
          </rPr>
          <t>Marlon Velasquez:</t>
        </r>
        <r>
          <rPr>
            <sz val="9"/>
            <color indexed="81"/>
            <rFont val="Tahoma"/>
            <family val="2"/>
          </rPr>
          <t xml:space="preserve">
Viene del Cuadro 7, es el Valor Presente de los Flujos Negativos del Flujo Neto.  Generalmente corresponde a la inversión inicial.</t>
        </r>
      </text>
    </comment>
    <comment ref="C107" authorId="0">
      <text>
        <r>
          <rPr>
            <b/>
            <sz val="9"/>
            <color indexed="81"/>
            <rFont val="Tahoma"/>
            <family val="2"/>
          </rPr>
          <t>Marlon Velasquez:</t>
        </r>
        <r>
          <rPr>
            <sz val="9"/>
            <color indexed="81"/>
            <rFont val="Tahoma"/>
            <family val="2"/>
          </rPr>
          <t xml:space="preserve">
Es la división entre el Valor Presente de Flujos Positivos y el de los Negativos.</t>
        </r>
      </text>
    </comment>
    <comment ref="C136" authorId="1">
      <text>
        <r>
          <rPr>
            <b/>
            <sz val="9"/>
            <color indexed="81"/>
            <rFont val="Tahoma"/>
            <charset val="1"/>
          </rPr>
          <t>Bolivar Solorzano:</t>
        </r>
        <r>
          <rPr>
            <sz val="9"/>
            <color indexed="81"/>
            <rFont val="Tahoma"/>
            <charset val="1"/>
          </rPr>
          <t xml:space="preserve">
Igual al cuadro 6, excepto lo indicado.</t>
        </r>
      </text>
    </comment>
    <comment ref="C145" authorId="1">
      <text>
        <r>
          <rPr>
            <b/>
            <sz val="9"/>
            <color indexed="81"/>
            <rFont val="Tahoma"/>
            <charset val="1"/>
          </rPr>
          <t>Bolivar Solorzano:</t>
        </r>
        <r>
          <rPr>
            <sz val="9"/>
            <color indexed="81"/>
            <rFont val="Tahoma"/>
            <charset val="1"/>
          </rPr>
          <t xml:space="preserve">
Viene de Cuadro 9.</t>
        </r>
      </text>
    </comment>
    <comment ref="C150" authorId="1">
      <text>
        <r>
          <rPr>
            <b/>
            <sz val="9"/>
            <color indexed="81"/>
            <rFont val="Tahoma"/>
            <charset val="1"/>
          </rPr>
          <t>Bolivar Solorzano:</t>
        </r>
        <r>
          <rPr>
            <sz val="9"/>
            <color indexed="81"/>
            <rFont val="Tahoma"/>
            <charset val="1"/>
          </rPr>
          <t xml:space="preserve">
Igual al Cuadro 7, excepto lo indicado.</t>
        </r>
      </text>
    </comment>
    <comment ref="D150" authorId="1">
      <text>
        <r>
          <rPr>
            <b/>
            <sz val="9"/>
            <color indexed="81"/>
            <rFont val="Tahoma"/>
            <charset val="1"/>
          </rPr>
          <t>Bolivar Solorzano:</t>
        </r>
        <r>
          <rPr>
            <sz val="9"/>
            <color indexed="81"/>
            <rFont val="Tahoma"/>
            <charset val="1"/>
          </rPr>
          <t xml:space="preserve">
Igual al Cuadro 7, excepto lo indicado.</t>
        </r>
      </text>
    </comment>
    <comment ref="D155" authorId="0">
      <text>
        <r>
          <rPr>
            <b/>
            <sz val="9"/>
            <color indexed="81"/>
            <rFont val="Tahoma"/>
            <family val="2"/>
          </rPr>
          <t>Marlon Velasquez:</t>
        </r>
        <r>
          <rPr>
            <sz val="9"/>
            <color indexed="81"/>
            <rFont val="Tahoma"/>
            <family val="2"/>
          </rPr>
          <t xml:space="preserve">
Viene del Cuadro 10</t>
        </r>
      </text>
    </comment>
    <comment ref="C158" authorId="0">
      <text>
        <r>
          <rPr>
            <b/>
            <sz val="9"/>
            <color indexed="81"/>
            <rFont val="Tahoma"/>
            <family val="2"/>
          </rPr>
          <t>Marlon Velasquez:</t>
        </r>
        <r>
          <rPr>
            <sz val="9"/>
            <color indexed="81"/>
            <rFont val="Tahoma"/>
            <family val="2"/>
          </rPr>
          <t xml:space="preserve">
Viene del Cuadro 8
</t>
        </r>
      </text>
    </comment>
    <comment ref="D159" authorId="0">
      <text>
        <r>
          <rPr>
            <b/>
            <sz val="9"/>
            <color indexed="81"/>
            <rFont val="Tahoma"/>
            <family val="2"/>
          </rPr>
          <t>Marlon Velasquez:</t>
        </r>
        <r>
          <rPr>
            <sz val="9"/>
            <color indexed="81"/>
            <rFont val="Tahoma"/>
            <family val="2"/>
          </rPr>
          <t xml:space="preserve">
Viene del Cuadro 9
</t>
        </r>
      </text>
    </comment>
    <comment ref="D160" authorId="1">
      <text>
        <r>
          <rPr>
            <b/>
            <sz val="9"/>
            <color indexed="81"/>
            <rFont val="Tahoma"/>
            <charset val="1"/>
          </rPr>
          <t>Bolivar Solorzano:</t>
        </r>
        <r>
          <rPr>
            <sz val="9"/>
            <color indexed="81"/>
            <rFont val="Tahoma"/>
            <charset val="1"/>
          </rPr>
          <t xml:space="preserve">
Viene del Cuadro 9
</t>
        </r>
      </text>
    </comment>
    <comment ref="C165" authorId="0">
      <text>
        <r>
          <rPr>
            <b/>
            <sz val="9"/>
            <color indexed="81"/>
            <rFont val="Tahoma"/>
            <family val="2"/>
          </rPr>
          <t>Marlon Velasquez:</t>
        </r>
        <r>
          <rPr>
            <sz val="9"/>
            <color indexed="81"/>
            <rFont val="Tahoma"/>
            <family val="2"/>
          </rPr>
          <t xml:space="preserve">
Es el Valor de todos flujos traídos a valor presente con la tasa ponderada del proyecto</t>
        </r>
      </text>
    </comment>
    <comment ref="G165" authorId="0">
      <text>
        <r>
          <rPr>
            <b/>
            <sz val="9"/>
            <color indexed="81"/>
            <rFont val="Tahoma"/>
            <family val="2"/>
          </rPr>
          <t>Marlon Velasquez:</t>
        </r>
        <r>
          <rPr>
            <sz val="9"/>
            <color indexed="81"/>
            <rFont val="Tahoma"/>
            <family val="2"/>
          </rPr>
          <t xml:space="preserve">
Viene del Cuadro 11 de la línea de Inversión en el Año 0.</t>
        </r>
      </text>
    </comment>
    <comment ref="C166" authorId="0">
      <text>
        <r>
          <rPr>
            <b/>
            <sz val="9"/>
            <color indexed="81"/>
            <rFont val="Tahoma"/>
            <family val="2"/>
          </rPr>
          <t>Marlon Velasquez:</t>
        </r>
        <r>
          <rPr>
            <sz val="9"/>
            <color indexed="81"/>
            <rFont val="Tahoma"/>
            <family val="2"/>
          </rPr>
          <t xml:space="preserve">
Por ser un proyecto financiado, entonces se calcula una tasa ponderada entre la tasa de rendimiento que quiere el inversionista y la tasa de financiamiento.</t>
        </r>
      </text>
    </comment>
    <comment ref="G166" authorId="0">
      <text>
        <r>
          <rPr>
            <b/>
            <sz val="9"/>
            <color indexed="81"/>
            <rFont val="Tahoma"/>
            <family val="2"/>
          </rPr>
          <t>Marlon Velasquez:</t>
        </r>
        <r>
          <rPr>
            <sz val="9"/>
            <color indexed="81"/>
            <rFont val="Tahoma"/>
            <family val="2"/>
          </rPr>
          <t xml:space="preserve">
Viene del Cuadro 8 y del Cuadro 11 de la línea de Préstamo o Deuda en el Año 0.</t>
        </r>
      </text>
    </comment>
    <comment ref="C167" authorId="0">
      <text>
        <r>
          <rPr>
            <b/>
            <sz val="9"/>
            <color indexed="81"/>
            <rFont val="Tahoma"/>
            <family val="2"/>
          </rPr>
          <t>Marlon Velasquez:</t>
        </r>
        <r>
          <rPr>
            <sz val="9"/>
            <color indexed="81"/>
            <rFont val="Tahoma"/>
            <family val="2"/>
          </rPr>
          <t xml:space="preserve">
Es la tasa donde el VAN del proyecto se hace 0.</t>
        </r>
      </text>
    </comment>
    <comment ref="G167" authorId="0">
      <text>
        <r>
          <rPr>
            <b/>
            <sz val="9"/>
            <color indexed="81"/>
            <rFont val="Tahoma"/>
            <family val="2"/>
          </rPr>
          <t>Marlon Velasquez:</t>
        </r>
        <r>
          <rPr>
            <sz val="9"/>
            <color indexed="81"/>
            <rFont val="Tahoma"/>
            <family val="2"/>
          </rPr>
          <t xml:space="preserve">
Diferencia entre la Inversión y el Préstamo</t>
        </r>
      </text>
    </comment>
    <comment ref="G168" authorId="0">
      <text>
        <r>
          <rPr>
            <b/>
            <sz val="9"/>
            <color indexed="81"/>
            <rFont val="Tahoma"/>
            <family val="2"/>
          </rPr>
          <t>Marlon Velasquez:</t>
        </r>
        <r>
          <rPr>
            <sz val="9"/>
            <color indexed="81"/>
            <rFont val="Tahoma"/>
            <family val="2"/>
          </rPr>
          <t xml:space="preserve">
Proporción del préstamo en relación con la Inversión </t>
        </r>
      </text>
    </comment>
    <comment ref="G169" authorId="0">
      <text>
        <r>
          <rPr>
            <b/>
            <sz val="9"/>
            <color indexed="81"/>
            <rFont val="Tahoma"/>
            <family val="2"/>
          </rPr>
          <t>Marlon Velasquez:</t>
        </r>
        <r>
          <rPr>
            <sz val="9"/>
            <color indexed="81"/>
            <rFont val="Tahoma"/>
            <family val="2"/>
          </rPr>
          <t xml:space="preserve">
Proporción del capital propio en relación con la Inversión </t>
        </r>
      </text>
    </comment>
    <comment ref="C170" authorId="0">
      <text>
        <r>
          <rPr>
            <b/>
            <sz val="9"/>
            <color indexed="81"/>
            <rFont val="Tahoma"/>
            <family val="2"/>
          </rPr>
          <t>Marlon Velasquez:</t>
        </r>
        <r>
          <rPr>
            <sz val="9"/>
            <color indexed="81"/>
            <rFont val="Tahoma"/>
            <family val="2"/>
          </rPr>
          <t xml:space="preserve">
Es el VAN dividido entre la Inversión</t>
        </r>
      </text>
    </comment>
    <comment ref="G170" authorId="0">
      <text>
        <r>
          <rPr>
            <b/>
            <sz val="9"/>
            <color indexed="81"/>
            <rFont val="Tahoma"/>
            <family val="2"/>
          </rPr>
          <t>Marlon Velasquez:</t>
        </r>
        <r>
          <rPr>
            <sz val="9"/>
            <color indexed="81"/>
            <rFont val="Tahoma"/>
            <family val="2"/>
          </rPr>
          <t xml:space="preserve">
Es la tasa de financiamiento definida por la entidad que presta el dinero.</t>
        </r>
      </text>
    </comment>
    <comment ref="C171" authorId="0">
      <text>
        <r>
          <rPr>
            <b/>
            <sz val="9"/>
            <color indexed="81"/>
            <rFont val="Tahoma"/>
            <family val="2"/>
          </rPr>
          <t>Marlon Velasquez:</t>
        </r>
        <r>
          <rPr>
            <sz val="9"/>
            <color indexed="81"/>
            <rFont val="Tahoma"/>
            <family val="2"/>
          </rPr>
          <t xml:space="preserve">
Viene del Cuadro 11, es el Valor Presente de los Flujos Positivos del Flujo Neto</t>
        </r>
      </text>
    </comment>
    <comment ref="G171" authorId="0">
      <text>
        <r>
          <rPr>
            <b/>
            <sz val="9"/>
            <color indexed="81"/>
            <rFont val="Tahoma"/>
            <family val="2"/>
          </rPr>
          <t>Marlon Velasquez:</t>
        </r>
        <r>
          <rPr>
            <sz val="9"/>
            <color indexed="81"/>
            <rFont val="Tahoma"/>
            <family val="2"/>
          </rPr>
          <t xml:space="preserve">
La Rentabilidad que espera la empresa se determina tomando en consideración la Tasa libre de riesgo correspondient a la mejor opción existente al momento de evaluar el proyecto, la tasa de retorno esperada para el mercado, el coeficiente BETA y, para ciertos análisis, se agrega la tasa por riesgo de pais. Para efectos del curso, no se va a entrar en el detalle de cómo se hace el cálculo de la Tasa de rentabilidad del Capital propio.  Este dato viene dado en el enunciado del caso.</t>
        </r>
      </text>
    </comment>
    <comment ref="C172" authorId="0">
      <text>
        <r>
          <rPr>
            <b/>
            <sz val="9"/>
            <color indexed="81"/>
            <rFont val="Tahoma"/>
            <family val="2"/>
          </rPr>
          <t>Marlon Velasquez:</t>
        </r>
        <r>
          <rPr>
            <sz val="9"/>
            <color indexed="81"/>
            <rFont val="Tahoma"/>
            <family val="2"/>
          </rPr>
          <t xml:space="preserve">
Viene del Cuadro 11, es el Valor Presente de los Flujos Negativos del Flujo Neto.
Generalmente corresponde a la inversión inicial.</t>
        </r>
      </text>
    </comment>
    <comment ref="C173" authorId="0">
      <text>
        <r>
          <rPr>
            <b/>
            <sz val="9"/>
            <color indexed="81"/>
            <rFont val="Tahoma"/>
            <family val="2"/>
          </rPr>
          <t>Marlon Velasquez:</t>
        </r>
        <r>
          <rPr>
            <sz val="9"/>
            <color indexed="81"/>
            <rFont val="Tahoma"/>
            <family val="2"/>
          </rPr>
          <t xml:space="preserve">
Es la división entre el Valor Presente de Flujos Positivos y el de los Negativos.</t>
        </r>
      </text>
    </comment>
    <comment ref="G173" authorId="0">
      <text>
        <r>
          <rPr>
            <b/>
            <sz val="9"/>
            <color indexed="81"/>
            <rFont val="Tahoma"/>
            <family val="2"/>
          </rPr>
          <t>Marlon Velasquez:</t>
        </r>
        <r>
          <rPr>
            <sz val="9"/>
            <color indexed="81"/>
            <rFont val="Tahoma"/>
            <family val="2"/>
          </rPr>
          <t xml:space="preserve">
La tasa Ponderada para el proyecto se obtiene de sumar                                      (Prest/Inv)*Tasa Prest. *(1-T) + (Cap. Prop./Inv)*Tasa Cap. Prop.
La tasa del préstamo (Tasa Prést. (%) en este cuadro) la indica la entidad financiera según las condiciones que se pacten para el crédito.  La tasa del capital propio (Tasa Cap. Prop. (%) en este cuadro) es definida por el inversionista. Para nuestros efectos, esta tasa viene dada en las condiciones del caso.</t>
        </r>
      </text>
    </comment>
  </commentList>
</comments>
</file>

<file path=xl/sharedStrings.xml><?xml version="1.0" encoding="utf-8"?>
<sst xmlns="http://schemas.openxmlformats.org/spreadsheetml/2006/main" count="337" uniqueCount="185">
  <si>
    <t>Inversiones</t>
  </si>
  <si>
    <t>$US</t>
  </si>
  <si>
    <t>Vida útil (años)</t>
  </si>
  <si>
    <t>Terrenos</t>
  </si>
  <si>
    <t>Obras civiles</t>
  </si>
  <si>
    <t>Equipos:</t>
  </si>
  <si>
    <t>Equipo A</t>
  </si>
  <si>
    <t>Equipo B</t>
  </si>
  <si>
    <t>Equipo C</t>
  </si>
  <si>
    <t>Total de Inversiones</t>
  </si>
  <si>
    <t>Cantidad a vender al 100% (u/año) =</t>
  </si>
  <si>
    <t>Impuestos a las Utilidades</t>
  </si>
  <si>
    <t>Año</t>
  </si>
  <si>
    <t>Progr. Prod. (%)</t>
  </si>
  <si>
    <t>Producción (u)</t>
  </si>
  <si>
    <t>V. Desecho</t>
  </si>
  <si>
    <t>V. U. (años)</t>
  </si>
  <si>
    <t>Año 5</t>
  </si>
  <si>
    <t>Año 10</t>
  </si>
  <si>
    <t>Capital de Trabajo año 1:</t>
  </si>
  <si>
    <t>%</t>
  </si>
  <si>
    <t>Año 1</t>
  </si>
  <si>
    <t>Act.C.- Pas. C</t>
  </si>
  <si>
    <t>CONCEPTO</t>
  </si>
  <si>
    <t>Ventas</t>
  </si>
  <si>
    <t>IVA Ventas (11%)</t>
  </si>
  <si>
    <t>IVA Compras (11%)</t>
  </si>
  <si>
    <t>IT (2%)</t>
  </si>
  <si>
    <t>INGRESO NETO (1)</t>
  </si>
  <si>
    <t>Costos Operativos</t>
  </si>
  <si>
    <t>Costos Variables</t>
  </si>
  <si>
    <t>Costo fijo</t>
  </si>
  <si>
    <t>Costo No operat.</t>
  </si>
  <si>
    <t xml:space="preserve">Depreciación </t>
  </si>
  <si>
    <t>UTILIDAD BRUTA</t>
  </si>
  <si>
    <t>I. U. E. (22%)</t>
  </si>
  <si>
    <t>UTILIDAD NETA</t>
  </si>
  <si>
    <t>Inversión</t>
  </si>
  <si>
    <t>Ingresos</t>
  </si>
  <si>
    <t>Costos Operat.</t>
  </si>
  <si>
    <t>Impuestos</t>
  </si>
  <si>
    <t>Valor Desecho</t>
  </si>
  <si>
    <t>Flujo Neto</t>
  </si>
  <si>
    <t>Valor Actual Neto VAN (17%)=</t>
  </si>
  <si>
    <t xml:space="preserve">Tasa Interna de Retorno TIR = </t>
  </si>
  <si>
    <t>Cuadro 8 Información Financiera y Cuota</t>
  </si>
  <si>
    <t>Inversión fija=</t>
  </si>
  <si>
    <t>Préstamo(P) =</t>
  </si>
  <si>
    <t>interés(i) =</t>
  </si>
  <si>
    <t>Años(n) =</t>
  </si>
  <si>
    <t>Cuota (C)=</t>
  </si>
  <si>
    <t>Cuadro 9 Pagos de Deuda</t>
  </si>
  <si>
    <t>Deuda o Saldo</t>
  </si>
  <si>
    <t>Cuota</t>
  </si>
  <si>
    <t>Intereses</t>
  </si>
  <si>
    <t>Amortización</t>
  </si>
  <si>
    <t>Cuadro 10 Cuenta de Resultados con Financiamiento</t>
  </si>
  <si>
    <t>Costo Financiero (Intereses)</t>
  </si>
  <si>
    <t>Cuadro 11 Flujo de Caja del Proyecto de Inversión con Financiamiento</t>
  </si>
  <si>
    <t>Préstamo o Deuda</t>
  </si>
  <si>
    <t>Préstamo</t>
  </si>
  <si>
    <t>Capital Propio</t>
  </si>
  <si>
    <t>Descripción</t>
  </si>
  <si>
    <t>Datos</t>
  </si>
  <si>
    <t>Tasa Rendimiento Capital Propio</t>
  </si>
  <si>
    <t>Valor Presente Flujos Positivos</t>
  </si>
  <si>
    <t>Valor Presente Flujos Negativos</t>
  </si>
  <si>
    <t>INDICADORES FINANCIEROS SIN FINANCIAMIENTO</t>
  </si>
  <si>
    <t>Prést/Inver (%)</t>
  </si>
  <si>
    <t>Cap.Prop./Inv (%)</t>
  </si>
  <si>
    <t>Tasa Prést. (%)</t>
  </si>
  <si>
    <t>Tasa Cap. Prop (%)</t>
  </si>
  <si>
    <t>INDICADORES FINANCIEROS CON FINANCIAMIENTO</t>
  </si>
  <si>
    <t>CÁLCULO DE LA TASA</t>
  </si>
  <si>
    <t>Tasa Ponderada del Proyecto</t>
  </si>
  <si>
    <t>Tasa Ponderada (%)</t>
  </si>
  <si>
    <t>VAN</t>
  </si>
  <si>
    <t>Rentabilidad</t>
  </si>
  <si>
    <t>Costo Beneficio</t>
  </si>
  <si>
    <t>ANÁLISIS DE SENSIBILIDAD</t>
  </si>
  <si>
    <t>Aumento o Disminución de Inversión</t>
  </si>
  <si>
    <t>Aumento o Disminución de Ingresos</t>
  </si>
  <si>
    <t>Aumento o Disminución de Tasas de Interés</t>
  </si>
  <si>
    <t>Aum. o Dism.%</t>
  </si>
  <si>
    <t>Dism.10%</t>
  </si>
  <si>
    <t>Dism.5%</t>
  </si>
  <si>
    <t>Aum. 5%</t>
  </si>
  <si>
    <t>Aum. 10%</t>
  </si>
  <si>
    <t>Aumento o Disminución de Costos Variables</t>
  </si>
  <si>
    <t>Aumento o Disminución de Costos Fijos</t>
  </si>
  <si>
    <t>Desv.% (-)</t>
  </si>
  <si>
    <t>Desv.% (+)</t>
  </si>
  <si>
    <t>Condición Sensibilidad</t>
  </si>
  <si>
    <t>Alta</t>
  </si>
  <si>
    <t>Media</t>
  </si>
  <si>
    <t>Baja</t>
  </si>
  <si>
    <t>Variable de sensibilidad</t>
  </si>
  <si>
    <t>Costos Fijos</t>
  </si>
  <si>
    <t>Tasa interés</t>
  </si>
  <si>
    <t>PRACTICA</t>
  </si>
  <si>
    <t>PASOS</t>
  </si>
  <si>
    <t>5. Practique con un aumento y disminución de las variables de un 5%, para que observen su sensibilidad.</t>
  </si>
  <si>
    <t>6. Por otro lado, puede también poner una combinanción de aumento o disminución de las variables a la vez, solo que para ello tendrían que montar los cuadros del VAN específicos para cada escenario.</t>
  </si>
  <si>
    <r>
      <rPr>
        <b/>
        <sz val="11"/>
        <color theme="1"/>
        <rFont val="Calibri"/>
        <family val="2"/>
        <scheme val="minor"/>
      </rPr>
      <t>NOTA</t>
    </r>
    <r>
      <rPr>
        <sz val="11"/>
        <color theme="1"/>
        <rFont val="Calibri"/>
        <family val="2"/>
        <scheme val="minor"/>
      </rPr>
      <t>: El ejemplo es el mismo visto en el Flujo de Caja, solo que tiene aplicada las fórmulas para afectar porcentualmente según las variables analizadas.</t>
    </r>
  </si>
  <si>
    <t>CUADRO 12 INDICADORES FINANCIEROS CON FINANCIAMIENTO</t>
  </si>
  <si>
    <t>CUADRO 13 CÁLCULO DE LA TASA</t>
  </si>
  <si>
    <t>CUADRO 14 Aumento o Diminución de variables y el VAN</t>
  </si>
  <si>
    <t>CUADRO 15 -VAN, VAN, +VAN</t>
  </si>
  <si>
    <t>CUADRO 16 variación % VAN y Sensibilidad</t>
  </si>
  <si>
    <t>1. Identificar que las variables de sensibilidad a analizar son la Inversión, los Ingresos, los Costos Variables, los Costos Fijos y la Tasa de Interés (Ver Cuadro 14)</t>
  </si>
  <si>
    <t>2. En la casilla  B71 (Cuadro 14)se indica el porcentaje que estaría variando el rubro de Inversión, por ejemplo si disminuye un 10% se pone -10%, y el resultado del VAN (casilla C71) se escribe en la casilla B88, eso sí, las casillas subsiguientes deben estar en 0%. De igual forma se hace con el aumento de 10% se pone 10%, y el resultado se escribe en la casilla D88.</t>
  </si>
  <si>
    <t>4. En el Cuadro 16, van a observar automáticamente como se comporta el VAN del proyecto, o sea que tan sensible es según la variable que se analice.</t>
  </si>
  <si>
    <t>3. Se hace lo mismo con las otras variables, pero recuerde que cuando ingrese los datos, las demás deben estar en 0%, y el dato del VAN se pone en la casilla correspondiente de la columna B (disminución) o D(aumento) del Cuado 15.</t>
  </si>
  <si>
    <t>Este cuadro recoge toda la información relacionada con los activos fijos que requiere el proyecto y que se van a depreciar según la vida útil de cada uno de ellos.</t>
  </si>
  <si>
    <t>Flujo del Accionista</t>
  </si>
  <si>
    <t xml:space="preserve">Impuesto "T"(%) </t>
  </si>
  <si>
    <t>Impuestos a utilidades(22%)</t>
  </si>
  <si>
    <t>Impuestos a utilidades</t>
  </si>
  <si>
    <t>Impuestos a utilidades (22%)</t>
  </si>
  <si>
    <t>CASO "La Mueblería"</t>
  </si>
  <si>
    <t>% Préstamo sobre Inversión</t>
  </si>
  <si>
    <t>El Cuadro 4 calcula la Depreciación de los Activos de forma lineal, donde el valor del activo se divide entre la vida útil en años.</t>
  </si>
  <si>
    <t>Capital de Trabajo</t>
  </si>
  <si>
    <t>En el Cuadro 10, lo que nos interesa es calcular solamente los impuestos a las utilidades, y se parte del principio que la información de la cuenta de resultados se aplica igual en tiempo el flujo de efectivo, pero en éste caso se le agregan los intereses.</t>
  </si>
  <si>
    <t>En este Cuadro se resume los indicadores más importante para efectos de análisis financiero que son el VAN, la TIR, Rentabilidad y el índice de Deseabilidad. En el caso del VAN, solo se aplica la tasa de Capital Propio</t>
  </si>
  <si>
    <t xml:space="preserve">Valor Actual Neto VAN </t>
  </si>
  <si>
    <t>Cuadro 1: Costos de Inversión</t>
  </si>
  <si>
    <t>Cuadro 2: Datos Generales</t>
  </si>
  <si>
    <t>Precio de venta ($/u) =</t>
  </si>
  <si>
    <t>Costo variable ($/u) =</t>
  </si>
  <si>
    <t>Costo fijo ($/año) =</t>
  </si>
  <si>
    <t>El Cuadro 2 recoge la información esencial para el desarrollo del caso, y las fórmulas de la hoja de cálculo están ligadas a la misma.</t>
  </si>
  <si>
    <t>Cuadro 3: Flujo de Caja Inicial</t>
  </si>
  <si>
    <t>Ventas ($)</t>
  </si>
  <si>
    <t>Costo Var. ($)</t>
  </si>
  <si>
    <t>Costo Fijo ($)</t>
  </si>
  <si>
    <t>En el Cuadro 3 se indica lo que produce y vende la mueblería y se estiman, a su vez, los costos fijos y variables que están relacionados con la producción.</t>
  </si>
  <si>
    <t>Cuadro 4: Depreciación de Activos</t>
  </si>
  <si>
    <t>Costo ($)</t>
  </si>
  <si>
    <t>Total depreciación por año</t>
  </si>
  <si>
    <t>Dep. año ($)</t>
  </si>
  <si>
    <t>Cuadro 5: Capital de Trabajo</t>
  </si>
  <si>
    <t>Activo Circulante ($):</t>
  </si>
  <si>
    <t>Pasivo Circulante ($):</t>
  </si>
  <si>
    <t>25% ventas</t>
  </si>
  <si>
    <t>30% costos operativos</t>
  </si>
  <si>
    <t xml:space="preserve">Capital de Trabajo ($) = </t>
  </si>
  <si>
    <t>En el Cuadro 5, se establece el capital de trabajo para que la empresa inicie sus operaciones.  Para éste caso, se supone que sólo va requerir dicho capital para el año 1 y luego se mantiene igual, o sea no hay variaciones, por eso se pone igual a 0 en los años siguientes.</t>
  </si>
  <si>
    <t>En el Cuadro 6, lo que nos interesa es calcular solamente los impuestos a las utilidades, y se parte del principio de que la información de la cuenta de resultados se aplica igual en tiempo al flujo de efectivo.</t>
  </si>
  <si>
    <t>Vida útil proyecto (años)</t>
  </si>
  <si>
    <t>Cuadro 6: Cuenta de Resultados</t>
  </si>
  <si>
    <t>Cuadro 7: Flujo de Caja del Proyecto de Inversión</t>
  </si>
  <si>
    <t>Valor Desecho Activos</t>
  </si>
  <si>
    <t>En el Cuadro 7 se resume la información de todos lo flujos para obtener el Flujo Neto de Efectivo del proyecto sin financiamiento.</t>
  </si>
  <si>
    <t>Cuadro 8: Información Financiera y Cuota</t>
  </si>
  <si>
    <t>En el Cuadro 8, se establece el porcentaje de la inversión que se financiará por medio de un endeudamiento.  También se indica la tasa de la deuda.</t>
  </si>
  <si>
    <t>Inversión en activos fijos</t>
  </si>
  <si>
    <t>Préstamo (P)</t>
  </si>
  <si>
    <t>interés (i)</t>
  </si>
  <si>
    <t>Años (n)</t>
  </si>
  <si>
    <t>Cuota (C)</t>
  </si>
  <si>
    <t>Cuadro 9: Pagos de Deuda</t>
  </si>
  <si>
    <t>En el Cuadro 9 se muestra la cuota a pagar por la deuda, y se deglosa en amortización e intereses.  Se muestra también el saldo de la deuda en cada período.</t>
  </si>
  <si>
    <t>Cuadro 10: Cuenta de Resultados con Financiamiento</t>
  </si>
  <si>
    <t>Cuadro 11: Flujo de Caja del Proyecto de Inversión con Financiamiento</t>
  </si>
  <si>
    <t>SI CONSIDERAMOS FINANCIAR EL PROYECTO…</t>
  </si>
  <si>
    <t>En este cuadro se calcula la Tasa Ponderada para descontar los flujos del proyecto.  La ponderación considera las tasas sobre el préstamo y sobre el capital propio, así como la tasa por impuestos a las utilidades.</t>
  </si>
  <si>
    <t>En el Cuadro 11, se muestran todos lo flujos para obtener el Flujo Neto Efectivo con financiamiento.  Los indicadores financieros se calculan con una tasa Ponderada.</t>
  </si>
  <si>
    <t>Valor Actual Neto VAN</t>
  </si>
  <si>
    <t>Tasa Interna de Retorno TIR</t>
  </si>
  <si>
    <t>Comisiones sobre Ventas</t>
  </si>
  <si>
    <t>Comisiones sobre Ventas (11%)</t>
  </si>
  <si>
    <t>Una empresa industrial desea invertir en un proyecto de fabricación de muebles de madera para exportación.  Se cuenta con la siguiente información:                                                                                                                                                                               
La vida útil del proyecto de inversión es de 10 años, y el programa de producción se prevé de la siguiente manera:
Año 1: 60% de capacidad instalada
Año 2: 80% de capacidad instalada
Año 3 al 10: 100% de capacidad instalada
Se tienen activos corrientes valorados al 25% de las ventas y pasivos corrientes valorados al 30% de los costos operativos.
Cantidad a vender será 5,000 unidades por año, al 100% de capacidad instalada, y a un precio de venta de US$80 por unidad.
Costo variable facturado es de US$25 por unidad, y costo fijo es de US$30,000 por año.
El impuesto sobre utilidades tiene una alícuota de 22%. Se pagan, además, comisiones sobre ventas de 11%.
El costo de capital para la empresa es de 18%.
Se prevé invertir $50,000 en terrenos, $140,000 en obras civiles (vida útil de 25 años), $150,000 en el equipo A (vida útil 10 años), $40,000 en el equipo B (vida útil 10 años), y $90,000 en el equipo C (vida útil 10 años).  La depreciación de los activos se hará por el método de la línea recta. El valor de mercado, al final de la vida útil del proyecto, para las obras civiles es igual al valor contable, y para el equipo A y el equipo B es de 10% y 20% del valor de compra, respectivamente.  El valor del equipo C al final del proyecto es cero.
Se pide determinar: 
El flujo de caja relevante de la inversión.
Si el proyecto considera un préstamo por el 70% de la inversión en activos fijos con las siguientes condiciones: tasa de interés 11% anual, 10 años de plazo, pagadero anualmente con amortizaciones iguales, ¿cuál será el efecto del apalancamiento financiero?</t>
  </si>
  <si>
    <t>Razón Beneficio/Costo</t>
  </si>
  <si>
    <t>Razón Benefico/Costo</t>
  </si>
  <si>
    <t>Dism.15%</t>
  </si>
  <si>
    <t>Aum. 15%</t>
  </si>
  <si>
    <r>
      <t>Después de desarrollar el flujo de caja del proyecto, y de calcular los indicadores más importantes desde el punto de vista financiero (VAN, TIR, Rentabilidad y relación Beneficio/Costo), procedemos a analizar cómo se comportaría el proyecto en caso de presentarse cambios en algunos de los rubros que comprende el flujo de caja.</t>
    </r>
    <r>
      <rPr>
        <sz val="12"/>
        <color indexed="8"/>
        <rFont val="Arial"/>
        <family val="2"/>
      </rPr>
      <t/>
    </r>
  </si>
  <si>
    <r>
      <t xml:space="preserve">A continuación, se indican algunos ejemplos para cada rubro:
</t>
    </r>
    <r>
      <rPr>
        <b/>
        <u/>
        <sz val="12"/>
        <color theme="1"/>
        <rFont val="Arial"/>
        <family val="2"/>
      </rPr>
      <t>Inversión:</t>
    </r>
    <r>
      <rPr>
        <sz val="12"/>
        <color theme="1"/>
        <rFont val="Arial"/>
        <family val="2"/>
      </rPr>
      <t xml:space="preserve">  En el caso de la inversión, se puede presentar un aumento porque los materiales y la mano de obra se incrementaron, o una disminución porque se bajaron los precios de un requerimiento principal, logrando un ahorro en la inversión inicial por las compras realizadas.
</t>
    </r>
    <r>
      <rPr>
        <b/>
        <u/>
        <sz val="12"/>
        <color theme="1"/>
        <rFont val="Arial"/>
        <family val="2"/>
      </rPr>
      <t>Ingresos por ventas</t>
    </r>
    <r>
      <rPr>
        <sz val="12"/>
        <color theme="1"/>
        <rFont val="Arial"/>
        <family val="2"/>
      </rPr>
      <t xml:space="preserve">:  puede ocurrir que las ventas disminuyan por una catástrofe climatológica o, por el contrario, puede ser que aumenten por una demanda pico generada por una bonanza económica en el pais donde se desarrolla el proyecto, donde la gente tenga más dinero para comprar el servicio o producto que provee el proyecto.
</t>
    </r>
    <r>
      <rPr>
        <b/>
        <u/>
        <sz val="12"/>
        <color theme="1"/>
        <rFont val="Arial"/>
        <family val="2"/>
      </rPr>
      <t>Costos variables:</t>
    </r>
    <r>
      <rPr>
        <sz val="12"/>
        <color theme="1"/>
        <rFont val="Arial"/>
        <family val="2"/>
      </rPr>
      <t xml:space="preserve"> puede ocurrir que los costos relacionados directamente con la producción hayan aumentado por los salarios de la mano de obra que suelen ajustarse de manera semestral o, por el contrario, pueden disminuir los costos variables porque se esté utilizado un material sustituto con mejor precio.                                                         </t>
    </r>
    <r>
      <rPr>
        <b/>
        <u/>
        <sz val="12"/>
        <color theme="1"/>
        <rFont val="Arial"/>
        <family val="2"/>
      </rPr>
      <t>Costos Fijos</t>
    </r>
    <r>
      <rPr>
        <sz val="12"/>
        <color theme="1"/>
        <rFont val="Arial"/>
        <family val="2"/>
      </rPr>
      <t xml:space="preserve">: puede ocurrir que los costos por alquileres de las oficinas administrativas aumenten o, por el contrario disminuyan por el traslado a un lugar de menor costo.
</t>
    </r>
    <r>
      <rPr>
        <b/>
        <u/>
        <sz val="12"/>
        <color theme="1"/>
        <rFont val="Arial"/>
        <family val="2"/>
      </rPr>
      <t>Tasas de interés</t>
    </r>
    <r>
      <rPr>
        <b/>
        <sz val="12"/>
        <color theme="1"/>
        <rFont val="Arial"/>
        <family val="2"/>
      </rPr>
      <t xml:space="preserve">:  </t>
    </r>
    <r>
      <rPr>
        <sz val="12"/>
        <color theme="1"/>
        <rFont val="Arial"/>
        <family val="2"/>
      </rPr>
      <t>Si el proyecto</t>
    </r>
    <r>
      <rPr>
        <b/>
        <sz val="12"/>
        <color theme="1"/>
        <rFont val="Arial"/>
        <family val="2"/>
      </rPr>
      <t xml:space="preserve"> </t>
    </r>
    <r>
      <rPr>
        <sz val="12"/>
        <color theme="1"/>
        <rFont val="Arial"/>
        <family val="2"/>
      </rPr>
      <t>tiene un porcentaje de la inversión financiada mediante una deuda, los costos financieros pueden cambiar en función de las variaciones en las tasas de interés aplicables al contrato de deuda.</t>
    </r>
  </si>
  <si>
    <t>En la siguente cejilla "Flujo y análisis de sensibilidad", se presenta un ejemplo de lo que sería un ANÁLISIS DE SENSIBILIDAD.  Para ello, tomaremos el mismo ejemplo de Flujo de Caja con indicadores financieros desarrollado en semanas anteriores.  Tomaremos como base los cuadros 8, 9, 10 y 11, y los cuadros de "Indicadores Financieros con Financiamiento" y "Cálculo de la Tasa" para poder realizar el análisis.  Nos dirigiremos hasta la parte inferior del útimo cuadro para proceder paso a paso con el análisis de sensibilidad.</t>
  </si>
  <si>
    <t>En el Cuadro 14: Aumento o Disminución de variables y el VAN, en la columna "Aum. o Dism. %" tenemos los diferentes rubros que serán variados porcentualmente y que afectarán (están ligados con las celdas) los valores del Cuadro 11 y del Cuadro 10.  La otra  columna del Cuadro 14, "VAN", registra el valor calculado del VAN según la irformación de variación porcentual que se ponga en cada uno de los rubros.  Por ejemplo, si ponemos en la Fila de "Aumento o Disminuación de la Inversión" y la Columna  "Aum. o Dism.%"  el dato -10%, entonces tendremos un VAN de xxx2,559,816, y si ponemos un +10% el VAN sería xxxx2,290,437 (Ver Cuadro 15 y hacer la prueba).  Para construir el Cuadro 15, primero se escribe -10% y el resultado del VAN se escribe en el Cuadro 15.  Seguidamente se borra el porcentaje anterior y se pone 10%, que nos daría un VAN nuevo que de igual forma se pone en el Cuadro 15.  Lo mismo se hace con los otros rubros.  Sólo hay que tener cuidado de poner un porcentaje de variación para un solo parámetro a la vez, esto es, las demás casillas deben estar en 0%. Cuando se obtiene el dato, seguidamente se escribe en el Cuadro 15.  Si se va a analizar una variación de -10% entonces el dato va en la columna de Dism. 10% y, por el contrario, si es +10% irá en la columna de Aum. 10%.  Con ello vamos a obtener una simulación de cómo se comporta el VAN según el aumento o disminución que se establezca para cada uno de los rubros.  Se recomienda que sea el mismo porcentaje de variación para todos los rubros, para detectar cuál de ellos es el que afecta o impacta mayormente el proyecto.  Para el ejemplo, se utilizó un 10%.  Eso no excluye que se pueda hacer una combinanción de aumentos y disminuciones diferentes de los rubros para ver cómo se comporta el VAN, pero para efectos comparativos en este ejemplo, se hará sólo una misma variación para cada rubro.</t>
  </si>
  <si>
    <r>
      <t xml:space="preserve">Para ello, podemos simular diferentes escenarios de cómo podría ser el futuro.  En estos escenarios podemos prever eventos que se puedan presentar en el mercado, y que afecten los rubros más importantes del flujo de caja.  Estos rubros que suelen analizarse son la </t>
    </r>
    <r>
      <rPr>
        <b/>
        <sz val="12"/>
        <color theme="1"/>
        <rFont val="Arial"/>
        <family val="2"/>
      </rPr>
      <t>inversión inicial, los ingresos por ventas, los costos variables, los costos fijos y las tasas de interés.  El c</t>
    </r>
    <r>
      <rPr>
        <sz val="12"/>
        <color theme="1"/>
        <rFont val="Arial"/>
        <family val="2"/>
      </rPr>
      <t xml:space="preserve">omportamiento que tengan los indicadores financieros por los cambios en estos rubros, es lo que llamamos </t>
    </r>
    <r>
      <rPr>
        <b/>
        <sz val="12"/>
        <color theme="1"/>
        <rFont val="Arial"/>
        <family val="2"/>
      </rPr>
      <t xml:space="preserve">"análisis de sensibilidad".  Dicho análisis </t>
    </r>
    <r>
      <rPr>
        <sz val="12"/>
        <color theme="1"/>
        <rFont val="Arial"/>
        <family val="2"/>
      </rPr>
      <t xml:space="preserve">se refiere a qué tan sensible es el proyecto a las variaciones en sus rubros más importantes. </t>
    </r>
  </si>
  <si>
    <t>PRÁCTICA</t>
  </si>
  <si>
    <t>En el Cuadro 15 se resume el impacto sobre el VAN del aumento o disminución porcentual de los rubros.  Luego, en el Cuadro 16, se puede visualizar qué porcentaje ha variado el VAN según el rubro correspondiente, y la calificación de cuáles rubros son más sensibles para el proyecto. Por ejemplo, se pueden establecer algunos rangos que permitan calificar el nivel de riesgo correspondiente, que podría ser de 0 a 6% Baja, de 6.01 a 12% Media, y de 12.01% en adelante Alta.  La graficación de los resultados obtenidos que se muestra a la derecha facilita la apreciación del comportamiento de las variables analizadas.</t>
  </si>
  <si>
    <t>Después de desarrollar los cálculos, podemos concluir que,  para este proyecto, la inversión, los ingresos y los costos variables son los rubros que impactan mayormente la sensibilidad del proyecto, y que un cambio significativo en ellos podría cambiar las condiciones esperadas del proyecto.  En cuanto a los costos fijos y la tasa de interés, son los que menos lo afectan. En los siguientes cuadros, pueden practicar calculando el impacto que se tendría sobre el VAN con un aumento o disminución de un 15% o la tasa de variación que quieran.  Para ello, se vuelve al Cuadro 14, y se comienza con -15% en la fila de Inversión y el resultado del VAN se anota en el Cuadro de Práctica,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</si>
</sst>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quot;$&quot;#,##0.00_);[Red]\(&quot;$&quot;#,##0.00\)"/>
    <numFmt numFmtId="165" formatCode="#,##0.000000"/>
    <numFmt numFmtId="166" formatCode="#,##0.0000000"/>
  </numFmts>
  <fonts count="3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b/>
      <sz val="14"/>
      <color theme="1"/>
      <name val="Arial"/>
      <family val="2"/>
    </font>
    <font>
      <sz val="26"/>
      <color theme="1"/>
      <name val="Arial"/>
      <family val="2"/>
    </font>
    <font>
      <b/>
      <sz val="11"/>
      <color theme="1"/>
      <name val="Arial"/>
      <family val="2"/>
    </font>
    <font>
      <sz val="11"/>
      <color theme="1"/>
      <name val="Arial"/>
      <family val="2"/>
    </font>
    <font>
      <b/>
      <sz val="26"/>
      <color theme="1"/>
      <name val="Arial"/>
      <family val="2"/>
    </font>
    <font>
      <sz val="12"/>
      <color theme="1"/>
      <name val="Calibri"/>
      <family val="2"/>
      <scheme val="minor"/>
    </font>
    <font>
      <sz val="12"/>
      <color theme="1"/>
      <name val="Arial"/>
      <family val="2"/>
    </font>
    <font>
      <b/>
      <sz val="11"/>
      <color rgb="FFFF0000"/>
      <name val="Arial"/>
      <family val="2"/>
    </font>
    <font>
      <b/>
      <sz val="12"/>
      <color theme="1"/>
      <name val="Arial"/>
      <family val="2"/>
    </font>
    <font>
      <b/>
      <sz val="16"/>
      <color theme="1"/>
      <name val="Calibri"/>
      <family val="2"/>
      <scheme val="minor"/>
    </font>
    <font>
      <b/>
      <sz val="9"/>
      <color indexed="81"/>
      <name val="Tahoma"/>
      <family val="2"/>
    </font>
    <font>
      <sz val="9"/>
      <color indexed="81"/>
      <name val="Tahoma"/>
      <family val="2"/>
    </font>
    <font>
      <b/>
      <sz val="9"/>
      <color indexed="81"/>
      <name val="Tahoma"/>
      <charset val="1"/>
    </font>
    <font>
      <sz val="9"/>
      <color indexed="81"/>
      <name val="Tahoma"/>
      <charset val="1"/>
    </font>
    <font>
      <sz val="12"/>
      <color rgb="FF000000"/>
      <name val="Arial"/>
      <family val="2"/>
    </font>
    <font>
      <b/>
      <sz val="14"/>
      <color rgb="FF003366"/>
      <name val="Arial"/>
      <family val="2"/>
    </font>
    <font>
      <b/>
      <sz val="14"/>
      <color rgb="FFFFFFFF"/>
      <name val="Arial"/>
      <family val="2"/>
    </font>
    <font>
      <b/>
      <sz val="11"/>
      <color rgb="FFFFFFFF"/>
      <name val="Arial"/>
      <family val="2"/>
    </font>
    <font>
      <sz val="11"/>
      <color rgb="FF000000"/>
      <name val="Arial"/>
      <family val="2"/>
    </font>
    <font>
      <b/>
      <sz val="11"/>
      <name val="Arial"/>
      <family val="2"/>
    </font>
    <font>
      <sz val="12"/>
      <name val="Arial"/>
      <family val="2"/>
    </font>
    <font>
      <b/>
      <sz val="12"/>
      <name val="Calibri"/>
      <family val="2"/>
      <scheme val="minor"/>
    </font>
    <font>
      <b/>
      <sz val="11"/>
      <name val="Calibri"/>
      <family val="2"/>
      <scheme val="minor"/>
    </font>
    <font>
      <b/>
      <sz val="16"/>
      <color rgb="FFFF0000"/>
      <name val="Arial"/>
      <family val="2"/>
    </font>
    <font>
      <b/>
      <sz val="18"/>
      <color rgb="FF0070C0"/>
      <name val="Arial"/>
      <family val="2"/>
    </font>
    <font>
      <sz val="12"/>
      <color indexed="8"/>
      <name val="Arial"/>
      <family val="2"/>
    </font>
    <font>
      <b/>
      <u/>
      <sz val="12"/>
      <color theme="1"/>
      <name val="Arial"/>
      <family val="2"/>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6"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B0F0"/>
        <bgColor indexed="64"/>
      </patternFill>
    </fill>
  </fills>
  <borders count="70">
    <border>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rgb="FF0070C0"/>
      </left>
      <right style="thin">
        <color theme="0"/>
      </right>
      <top style="medium">
        <color rgb="FF0070C0"/>
      </top>
      <bottom style="thin">
        <color theme="0"/>
      </bottom>
      <diagonal/>
    </border>
    <border>
      <left style="thin">
        <color theme="0"/>
      </left>
      <right style="thin">
        <color theme="0"/>
      </right>
      <top style="medium">
        <color rgb="FF0070C0"/>
      </top>
      <bottom style="thin">
        <color theme="0"/>
      </bottom>
      <diagonal/>
    </border>
    <border>
      <left style="thin">
        <color theme="0"/>
      </left>
      <right style="medium">
        <color rgb="FF0070C0"/>
      </right>
      <top style="medium">
        <color rgb="FF0070C0"/>
      </top>
      <bottom style="thin">
        <color theme="0"/>
      </bottom>
      <diagonal/>
    </border>
    <border>
      <left style="medium">
        <color rgb="FF0070C0"/>
      </left>
      <right style="thin">
        <color theme="0"/>
      </right>
      <top style="thin">
        <color theme="0"/>
      </top>
      <bottom style="thin">
        <color theme="0"/>
      </bottom>
      <diagonal/>
    </border>
    <border>
      <left style="thin">
        <color theme="0"/>
      </left>
      <right style="medium">
        <color rgb="FF0070C0"/>
      </right>
      <top style="thin">
        <color theme="0"/>
      </top>
      <bottom style="thin">
        <color theme="0"/>
      </bottom>
      <diagonal/>
    </border>
    <border>
      <left style="medium">
        <color rgb="FF0070C0"/>
      </left>
      <right style="thin">
        <color theme="0"/>
      </right>
      <top style="thin">
        <color theme="0"/>
      </top>
      <bottom style="medium">
        <color rgb="FF0070C0"/>
      </bottom>
      <diagonal/>
    </border>
    <border>
      <left style="thin">
        <color theme="0"/>
      </left>
      <right style="thin">
        <color theme="0"/>
      </right>
      <top style="thin">
        <color theme="0"/>
      </top>
      <bottom style="medium">
        <color rgb="FF0070C0"/>
      </bottom>
      <diagonal/>
    </border>
    <border>
      <left style="thin">
        <color theme="0"/>
      </left>
      <right style="medium">
        <color rgb="FF0070C0"/>
      </right>
      <top style="thin">
        <color theme="0"/>
      </top>
      <bottom style="medium">
        <color rgb="FF0070C0"/>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style="thin">
        <color indexed="64"/>
      </right>
      <top style="medium">
        <color rgb="FF0070C0"/>
      </top>
      <bottom style="medium">
        <color rgb="FF0070C0"/>
      </bottom>
      <diagonal/>
    </border>
    <border>
      <left style="thin">
        <color indexed="64"/>
      </left>
      <right style="medium">
        <color rgb="FF0070C0"/>
      </right>
      <top style="medium">
        <color rgb="FF0070C0"/>
      </top>
      <bottom style="medium">
        <color rgb="FF0070C0"/>
      </bottom>
      <diagonal/>
    </border>
    <border>
      <left style="thin">
        <color indexed="64"/>
      </left>
      <right style="thin">
        <color indexed="64"/>
      </right>
      <top style="medium">
        <color rgb="FF0070C0"/>
      </top>
      <bottom style="medium">
        <color rgb="FF0070C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rgb="FF0070C0"/>
      </top>
      <bottom style="medium">
        <color indexed="64"/>
      </bottom>
      <diagonal/>
    </border>
    <border>
      <left style="thin">
        <color indexed="64"/>
      </left>
      <right style="thin">
        <color indexed="64"/>
      </right>
      <top style="medium">
        <color rgb="FF0070C0"/>
      </top>
      <bottom style="medium">
        <color indexed="64"/>
      </bottom>
      <diagonal/>
    </border>
    <border>
      <left style="thin">
        <color indexed="64"/>
      </left>
      <right style="medium">
        <color indexed="64"/>
      </right>
      <top style="medium">
        <color rgb="FF0070C0"/>
      </top>
      <bottom style="medium">
        <color indexed="64"/>
      </bottom>
      <diagonal/>
    </border>
    <border>
      <left style="medium">
        <color indexed="64"/>
      </left>
      <right style="thin">
        <color indexed="64"/>
      </right>
      <top style="medium">
        <color rgb="FF0070C0"/>
      </top>
      <bottom style="medium">
        <color rgb="FF0070C0"/>
      </bottom>
      <diagonal/>
    </border>
    <border>
      <left style="thin">
        <color indexed="64"/>
      </left>
      <right style="medium">
        <color indexed="64"/>
      </right>
      <top style="medium">
        <color rgb="FF0070C0"/>
      </top>
      <bottom style="medium">
        <color rgb="FF0070C0"/>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377">
    <xf numFmtId="0" fontId="0" fillId="0" borderId="0" xfId="0"/>
    <xf numFmtId="0" fontId="3" fillId="0" borderId="0" xfId="0" applyFont="1"/>
    <xf numFmtId="3" fontId="3" fillId="0" borderId="0" xfId="0" applyNumberFormat="1" applyFont="1"/>
    <xf numFmtId="0" fontId="4" fillId="0" borderId="0" xfId="0" applyFont="1"/>
    <xf numFmtId="0" fontId="6" fillId="2" borderId="2" xfId="0" applyFont="1" applyFill="1" applyBorder="1" applyAlignment="1">
      <alignment horizontal="left" vertical="center" wrapText="1"/>
    </xf>
    <xf numFmtId="3" fontId="6" fillId="2" borderId="3" xfId="0" applyNumberFormat="1" applyFont="1" applyFill="1" applyBorder="1" applyAlignment="1">
      <alignment horizontal="center" vertical="center" wrapText="1"/>
    </xf>
    <xf numFmtId="3" fontId="6" fillId="2" borderId="4" xfId="0" applyNumberFormat="1" applyFont="1" applyFill="1" applyBorder="1" applyAlignment="1">
      <alignment horizontal="center" vertical="center" wrapText="1"/>
    </xf>
    <xf numFmtId="3" fontId="7" fillId="2" borderId="0" xfId="0" applyNumberFormat="1" applyFont="1" applyFill="1"/>
    <xf numFmtId="0" fontId="7" fillId="2" borderId="0" xfId="0" applyFont="1" applyFill="1"/>
    <xf numFmtId="0" fontId="7" fillId="0" borderId="5" xfId="0" applyFont="1" applyBorder="1" applyAlignment="1">
      <alignment horizontal="left" vertical="center" wrapText="1"/>
    </xf>
    <xf numFmtId="3" fontId="7" fillId="0" borderId="7" xfId="0" applyNumberFormat="1" applyFont="1" applyBorder="1"/>
    <xf numFmtId="3" fontId="7" fillId="0" borderId="0" xfId="0" applyNumberFormat="1" applyFont="1"/>
    <xf numFmtId="0" fontId="7" fillId="0" borderId="0" xfId="0" applyFont="1"/>
    <xf numFmtId="3" fontId="7" fillId="0" borderId="7" xfId="0" applyNumberFormat="1" applyFont="1" applyBorder="1" applyAlignment="1">
      <alignment horizontal="center" vertical="center" wrapText="1"/>
    </xf>
    <xf numFmtId="3" fontId="7" fillId="0" borderId="6" xfId="0" applyNumberFormat="1" applyFont="1" applyBorder="1"/>
    <xf numFmtId="3" fontId="7" fillId="0" borderId="1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7" fillId="0" borderId="11" xfId="0" applyFont="1" applyBorder="1" applyAlignment="1">
      <alignment horizontal="left" vertical="center" wrapText="1"/>
    </xf>
    <xf numFmtId="3" fontId="7" fillId="0" borderId="13" xfId="0" applyNumberFormat="1" applyFont="1" applyBorder="1" applyAlignment="1">
      <alignment horizontal="right" vertical="center" wrapText="1"/>
    </xf>
    <xf numFmtId="0" fontId="7" fillId="0" borderId="0" xfId="0" applyFont="1" applyBorder="1" applyAlignment="1">
      <alignment horizontal="left" vertical="center" wrapText="1"/>
    </xf>
    <xf numFmtId="3" fontId="7" fillId="0" borderId="0" xfId="0" applyNumberFormat="1" applyFont="1" applyBorder="1" applyAlignment="1">
      <alignment horizontal="left" vertical="center" wrapText="1"/>
    </xf>
    <xf numFmtId="3" fontId="7" fillId="0" borderId="0" xfId="0" applyNumberFormat="1" applyFont="1" applyBorder="1" applyAlignment="1">
      <alignment horizontal="right" vertical="center" wrapText="1"/>
    </xf>
    <xf numFmtId="0" fontId="7" fillId="0" borderId="5" xfId="0" applyFont="1" applyFill="1" applyBorder="1" applyAlignment="1">
      <alignment horizontal="left" vertical="center" wrapText="1"/>
    </xf>
    <xf numFmtId="0" fontId="7" fillId="0" borderId="5" xfId="0" applyFont="1" applyBorder="1" applyAlignment="1">
      <alignment horizontal="left" vertical="center"/>
    </xf>
    <xf numFmtId="0" fontId="7" fillId="0" borderId="8" xfId="0" applyFont="1" applyBorder="1" applyAlignment="1">
      <alignment horizontal="left" vertical="center"/>
    </xf>
    <xf numFmtId="0" fontId="7" fillId="0" borderId="14" xfId="0" applyFont="1" applyBorder="1" applyAlignment="1">
      <alignment horizontal="left" vertical="center"/>
    </xf>
    <xf numFmtId="3" fontId="6" fillId="0" borderId="0" xfId="0" applyNumberFormat="1" applyFont="1" applyBorder="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7" fillId="0" borderId="2" xfId="0" applyNumberFormat="1" applyFont="1" applyBorder="1" applyAlignment="1">
      <alignment horizontal="center"/>
    </xf>
    <xf numFmtId="3" fontId="7" fillId="0" borderId="3" xfId="0" applyNumberFormat="1" applyFont="1" applyBorder="1" applyAlignment="1">
      <alignment horizontal="center"/>
    </xf>
    <xf numFmtId="0" fontId="6" fillId="0" borderId="5" xfId="0" applyNumberFormat="1" applyFont="1" applyBorder="1" applyAlignment="1">
      <alignment horizontal="left" vertical="center"/>
    </xf>
    <xf numFmtId="0" fontId="7" fillId="0" borderId="5" xfId="0" applyNumberFormat="1" applyFont="1" applyBorder="1" applyAlignment="1">
      <alignment horizontal="left" vertical="center"/>
    </xf>
    <xf numFmtId="3" fontId="7" fillId="0" borderId="6" xfId="0" applyNumberFormat="1" applyFont="1" applyBorder="1" applyAlignment="1">
      <alignment horizontal="right" vertical="center"/>
    </xf>
    <xf numFmtId="0" fontId="7" fillId="0" borderId="14" xfId="0" applyNumberFormat="1" applyFont="1" applyBorder="1" applyAlignment="1">
      <alignment horizontal="left" vertical="center"/>
    </xf>
    <xf numFmtId="0" fontId="7" fillId="0" borderId="11" xfId="0" applyNumberFormat="1" applyFont="1" applyBorder="1" applyAlignment="1">
      <alignment horizontal="left" vertical="center"/>
    </xf>
    <xf numFmtId="0" fontId="7" fillId="0" borderId="0" xfId="0" applyNumberFormat="1" applyFont="1" applyBorder="1" applyAlignment="1">
      <alignment horizontal="left" vertical="center"/>
    </xf>
    <xf numFmtId="3" fontId="7" fillId="0" borderId="0" xfId="0" applyNumberFormat="1" applyFont="1" applyBorder="1" applyAlignment="1">
      <alignment horizontal="right" vertical="center"/>
    </xf>
    <xf numFmtId="3" fontId="7" fillId="0" borderId="0" xfId="0" applyNumberFormat="1" applyFont="1" applyBorder="1"/>
    <xf numFmtId="3" fontId="7" fillId="0" borderId="6" xfId="0" applyNumberFormat="1" applyFont="1" applyBorder="1" applyAlignment="1">
      <alignment horizontal="center"/>
    </xf>
    <xf numFmtId="0" fontId="7" fillId="0" borderId="6" xfId="0" applyFont="1" applyBorder="1" applyAlignment="1">
      <alignment horizontal="left" vertical="center"/>
    </xf>
    <xf numFmtId="3" fontId="7" fillId="0" borderId="6" xfId="0" applyNumberFormat="1" applyFont="1" applyBorder="1" applyAlignment="1">
      <alignment horizontal="left" vertical="center"/>
    </xf>
    <xf numFmtId="9" fontId="7" fillId="0" borderId="6" xfId="1" applyFont="1" applyBorder="1" applyAlignment="1">
      <alignment horizontal="center"/>
    </xf>
    <xf numFmtId="3" fontId="7" fillId="0" borderId="6" xfId="0" applyNumberFormat="1" applyFont="1" applyBorder="1" applyAlignment="1">
      <alignment horizontal="center" vertical="center"/>
    </xf>
    <xf numFmtId="0" fontId="6" fillId="0" borderId="2" xfId="0" applyFont="1" applyBorder="1" applyAlignment="1">
      <alignment horizontal="center" vertical="center"/>
    </xf>
    <xf numFmtId="3" fontId="6" fillId="0" borderId="3" xfId="0" applyNumberFormat="1" applyFont="1" applyBorder="1" applyAlignment="1">
      <alignment horizontal="center" vertical="center"/>
    </xf>
    <xf numFmtId="3" fontId="6" fillId="0" borderId="4" xfId="0" applyNumberFormat="1" applyFont="1" applyBorder="1" applyAlignment="1">
      <alignment horizontal="center" vertical="center"/>
    </xf>
    <xf numFmtId="0" fontId="6" fillId="0" borderId="5" xfId="0" applyFont="1" applyBorder="1" applyAlignment="1">
      <alignment horizontal="left" vertical="center"/>
    </xf>
    <xf numFmtId="3" fontId="6" fillId="0" borderId="6" xfId="0" applyNumberFormat="1" applyFont="1" applyBorder="1" applyAlignment="1">
      <alignment horizontal="right" vertical="center"/>
    </xf>
    <xf numFmtId="3" fontId="6" fillId="0" borderId="0" xfId="0" applyNumberFormat="1" applyFont="1" applyBorder="1" applyAlignment="1">
      <alignment horizontal="right" vertical="center"/>
    </xf>
    <xf numFmtId="0" fontId="7" fillId="0" borderId="0" xfId="0" applyFont="1" applyAlignment="1">
      <alignment horizontal="left"/>
    </xf>
    <xf numFmtId="3" fontId="7" fillId="0" borderId="0" xfId="0" applyNumberFormat="1" applyFont="1" applyFill="1" applyBorder="1" applyAlignment="1">
      <alignment horizontal="right" vertical="center"/>
    </xf>
    <xf numFmtId="0" fontId="6" fillId="0" borderId="14" xfId="0" applyFont="1" applyBorder="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5" xfId="0" applyFont="1" applyFill="1" applyBorder="1" applyAlignment="1">
      <alignment horizontal="left" vertical="center"/>
    </xf>
    <xf numFmtId="3" fontId="7" fillId="0" borderId="6" xfId="0" applyNumberFormat="1" applyFont="1" applyFill="1" applyBorder="1" applyAlignment="1">
      <alignment horizontal="right" vertical="center"/>
    </xf>
    <xf numFmtId="3" fontId="0" fillId="0" borderId="6" xfId="0" applyNumberFormat="1" applyFont="1" applyFill="1" applyBorder="1"/>
    <xf numFmtId="3" fontId="9" fillId="0" borderId="6" xfId="0" applyNumberFormat="1" applyFont="1" applyFill="1" applyBorder="1"/>
    <xf numFmtId="3" fontId="0" fillId="0" borderId="19" xfId="0" applyNumberFormat="1" applyFont="1" applyFill="1" applyBorder="1"/>
    <xf numFmtId="3" fontId="7" fillId="0" borderId="20" xfId="0" applyNumberFormat="1" applyFont="1" applyFill="1" applyBorder="1" applyAlignment="1">
      <alignment horizontal="right" vertical="center"/>
    </xf>
    <xf numFmtId="3" fontId="7" fillId="0" borderId="19" xfId="0" applyNumberFormat="1" applyFont="1" applyFill="1" applyBorder="1" applyAlignment="1">
      <alignment horizontal="right" vertical="center"/>
    </xf>
    <xf numFmtId="0" fontId="7" fillId="0" borderId="14" xfId="0" applyFont="1" applyFill="1" applyBorder="1" applyAlignment="1">
      <alignment horizontal="left" vertical="center"/>
    </xf>
    <xf numFmtId="3" fontId="7" fillId="0" borderId="21" xfId="0" applyNumberFormat="1" applyFont="1" applyFill="1" applyBorder="1" applyAlignment="1">
      <alignment horizontal="right" vertical="center"/>
    </xf>
    <xf numFmtId="0" fontId="8" fillId="0" borderId="0" xfId="0" applyFont="1" applyBorder="1" applyAlignment="1">
      <alignment horizontal="center" vertical="center" wrapText="1"/>
    </xf>
    <xf numFmtId="0" fontId="7" fillId="0" borderId="0" xfId="0" applyFont="1" applyFill="1" applyBorder="1" applyAlignment="1">
      <alignment horizontal="left" vertical="center"/>
    </xf>
    <xf numFmtId="0" fontId="7" fillId="0" borderId="0" xfId="0" applyFont="1" applyBorder="1" applyAlignment="1">
      <alignment horizontal="center"/>
    </xf>
    <xf numFmtId="0" fontId="7" fillId="0" borderId="0" xfId="0" applyFont="1" applyAlignment="1">
      <alignment horizontal="center"/>
    </xf>
    <xf numFmtId="4" fontId="7" fillId="0" borderId="0" xfId="0" applyNumberFormat="1" applyFont="1" applyBorder="1" applyAlignment="1"/>
    <xf numFmtId="4" fontId="7" fillId="0" borderId="0" xfId="0" applyNumberFormat="1" applyFont="1" applyBorder="1" applyAlignment="1">
      <alignment horizontal="center"/>
    </xf>
    <xf numFmtId="0" fontId="6" fillId="0" borderId="0" xfId="0" applyFont="1"/>
    <xf numFmtId="0" fontId="10" fillId="0" borderId="2" xfId="0" applyFont="1" applyBorder="1" applyAlignment="1">
      <alignment horizontal="left" vertical="center"/>
    </xf>
    <xf numFmtId="3" fontId="10" fillId="0" borderId="4" xfId="0" applyNumberFormat="1" applyFont="1" applyBorder="1" applyAlignment="1">
      <alignment horizontal="right" vertical="center"/>
    </xf>
    <xf numFmtId="0" fontId="10" fillId="0" borderId="5" xfId="0" applyFont="1" applyBorder="1" applyAlignment="1">
      <alignment horizontal="left" vertical="center"/>
    </xf>
    <xf numFmtId="3" fontId="10" fillId="0" borderId="7" xfId="0" applyNumberFormat="1" applyFont="1" applyBorder="1" applyAlignment="1">
      <alignment horizontal="right" vertical="center"/>
    </xf>
    <xf numFmtId="9" fontId="10" fillId="0" borderId="7" xfId="1" applyFont="1" applyBorder="1" applyAlignment="1">
      <alignment horizontal="right" vertical="center"/>
    </xf>
    <xf numFmtId="0" fontId="10" fillId="0" borderId="7" xfId="0" applyFont="1" applyBorder="1" applyAlignment="1">
      <alignment horizontal="right" vertical="center"/>
    </xf>
    <xf numFmtId="0" fontId="7" fillId="0" borderId="14" xfId="0" applyFont="1" applyBorder="1"/>
    <xf numFmtId="3" fontId="7" fillId="0" borderId="15" xfId="0" applyNumberFormat="1" applyFont="1" applyBorder="1"/>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left" vertical="center"/>
    </xf>
    <xf numFmtId="9" fontId="7" fillId="0" borderId="0" xfId="1" applyFont="1"/>
    <xf numFmtId="0" fontId="10" fillId="2" borderId="5" xfId="0" applyFont="1" applyFill="1" applyBorder="1" applyAlignment="1">
      <alignment horizontal="center" vertical="center"/>
    </xf>
    <xf numFmtId="3" fontId="10" fillId="2" borderId="6" xfId="0" applyNumberFormat="1" applyFont="1" applyFill="1" applyBorder="1" applyAlignment="1">
      <alignment horizontal="right" vertical="center"/>
    </xf>
    <xf numFmtId="3" fontId="10" fillId="0" borderId="6" xfId="0" applyNumberFormat="1" applyFont="1" applyBorder="1"/>
    <xf numFmtId="3" fontId="10" fillId="2" borderId="6" xfId="1" applyNumberFormat="1" applyFont="1" applyFill="1" applyBorder="1" applyAlignment="1">
      <alignment horizontal="right" vertical="center"/>
    </xf>
    <xf numFmtId="3" fontId="10" fillId="0" borderId="7" xfId="0" applyNumberFormat="1" applyFont="1" applyBorder="1"/>
    <xf numFmtId="4" fontId="7" fillId="0" borderId="0" xfId="0" applyNumberFormat="1" applyFont="1"/>
    <xf numFmtId="165" fontId="7" fillId="0" borderId="0" xfId="0" applyNumberFormat="1" applyFont="1"/>
    <xf numFmtId="166" fontId="7" fillId="0" borderId="0" xfId="0" applyNumberFormat="1" applyFont="1"/>
    <xf numFmtId="0" fontId="10" fillId="2" borderId="22" xfId="0" applyFont="1" applyFill="1" applyBorder="1" applyAlignment="1">
      <alignment horizontal="center" vertical="center"/>
    </xf>
    <xf numFmtId="0" fontId="13" fillId="0" borderId="0" xfId="0" applyFont="1"/>
    <xf numFmtId="0" fontId="7" fillId="0" borderId="8" xfId="0" applyFont="1" applyFill="1" applyBorder="1" applyAlignment="1">
      <alignment horizontal="left" vertical="center"/>
    </xf>
    <xf numFmtId="3" fontId="7" fillId="0" borderId="23" xfId="0" applyNumberFormat="1" applyFont="1" applyFill="1" applyBorder="1" applyAlignment="1">
      <alignment horizontal="right" vertical="center"/>
    </xf>
    <xf numFmtId="3" fontId="0" fillId="0" borderId="0" xfId="0" applyNumberFormat="1"/>
    <xf numFmtId="164" fontId="0" fillId="0" borderId="0" xfId="0" applyNumberFormat="1"/>
    <xf numFmtId="3" fontId="6" fillId="0" borderId="0" xfId="0" applyNumberFormat="1" applyFont="1" applyBorder="1"/>
    <xf numFmtId="4" fontId="7" fillId="0" borderId="0" xfId="0" applyNumberFormat="1" applyFont="1" applyBorder="1"/>
    <xf numFmtId="3" fontId="11" fillId="0" borderId="0" xfId="0" applyNumberFormat="1" applyFont="1" applyBorder="1"/>
    <xf numFmtId="3" fontId="7" fillId="0" borderId="6" xfId="0" applyNumberFormat="1" applyFont="1" applyBorder="1" applyAlignment="1">
      <alignment horizontal="center" vertical="center" wrapText="1"/>
    </xf>
    <xf numFmtId="3" fontId="7" fillId="0" borderId="9" xfId="0" applyNumberFormat="1" applyFont="1" applyBorder="1" applyAlignment="1">
      <alignment horizontal="center" vertical="center" wrapText="1"/>
    </xf>
    <xf numFmtId="3" fontId="7" fillId="0" borderId="7" xfId="0" applyNumberFormat="1" applyFont="1" applyBorder="1" applyAlignment="1">
      <alignment horizontal="center" vertical="center"/>
    </xf>
    <xf numFmtId="3" fontId="7" fillId="0" borderId="18" xfId="0" applyNumberFormat="1" applyFont="1" applyBorder="1" applyAlignment="1">
      <alignment horizontal="center" vertical="center"/>
    </xf>
    <xf numFmtId="3" fontId="7" fillId="0" borderId="18" xfId="0" applyNumberFormat="1" applyFont="1" applyBorder="1" applyAlignment="1">
      <alignment horizontal="center"/>
    </xf>
    <xf numFmtId="3" fontId="7" fillId="0" borderId="15" xfId="0" applyNumberFormat="1" applyFont="1" applyBorder="1" applyAlignment="1">
      <alignment horizontal="center" vertical="center"/>
    </xf>
    <xf numFmtId="3" fontId="7" fillId="0" borderId="12" xfId="0" applyNumberFormat="1" applyFont="1" applyBorder="1" applyAlignment="1">
      <alignment horizontal="center" vertical="center"/>
    </xf>
    <xf numFmtId="3" fontId="7" fillId="0" borderId="12" xfId="0" applyNumberFormat="1" applyFont="1" applyBorder="1" applyAlignment="1">
      <alignment horizontal="center"/>
    </xf>
    <xf numFmtId="3" fontId="7" fillId="0" borderId="13" xfId="0" applyNumberFormat="1" applyFont="1" applyBorder="1" applyAlignment="1">
      <alignment horizontal="center" vertical="center"/>
    </xf>
    <xf numFmtId="3" fontId="6" fillId="0" borderId="6" xfId="0" applyNumberFormat="1" applyFont="1" applyBorder="1" applyAlignment="1">
      <alignment horizontal="center" vertical="center"/>
    </xf>
    <xf numFmtId="3" fontId="6" fillId="0" borderId="7" xfId="0" applyNumberFormat="1" applyFont="1" applyBorder="1" applyAlignment="1">
      <alignment horizontal="center" vertical="center"/>
    </xf>
    <xf numFmtId="0" fontId="12" fillId="2" borderId="3" xfId="0" applyFont="1" applyFill="1" applyBorder="1" applyAlignment="1">
      <alignment horizontal="center" vertical="center"/>
    </xf>
    <xf numFmtId="10" fontId="0" fillId="0" borderId="0" xfId="1" applyNumberFormat="1" applyFont="1"/>
    <xf numFmtId="0" fontId="6" fillId="0" borderId="2" xfId="0" applyFont="1" applyBorder="1"/>
    <xf numFmtId="3" fontId="6" fillId="0" borderId="4" xfId="0" applyNumberFormat="1" applyFont="1" applyBorder="1" applyAlignment="1">
      <alignment horizontal="center"/>
    </xf>
    <xf numFmtId="3" fontId="7" fillId="0" borderId="7" xfId="0" applyNumberFormat="1" applyFont="1" applyFill="1" applyBorder="1" applyAlignment="1">
      <alignment horizontal="center" vertical="center" wrapText="1"/>
    </xf>
    <xf numFmtId="3" fontId="7" fillId="0" borderId="10" xfId="0" applyNumberFormat="1" applyFont="1" applyBorder="1" applyAlignment="1">
      <alignment horizontal="center" vertical="center"/>
    </xf>
    <xf numFmtId="9" fontId="7" fillId="0" borderId="7" xfId="1" applyFont="1" applyBorder="1" applyAlignment="1">
      <alignment horizontal="center" vertical="center"/>
    </xf>
    <xf numFmtId="9" fontId="7" fillId="0" borderId="15" xfId="1" applyFont="1" applyBorder="1" applyAlignment="1">
      <alignment horizontal="center" vertical="center"/>
    </xf>
    <xf numFmtId="3" fontId="6" fillId="0" borderId="6" xfId="0" applyNumberFormat="1" applyFont="1" applyBorder="1" applyAlignment="1">
      <alignment horizont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0" xfId="0" applyFont="1" applyBorder="1" applyAlignment="1">
      <alignment horizontal="left" vertical="center"/>
    </xf>
    <xf numFmtId="4" fontId="7" fillId="0" borderId="19" xfId="0" applyNumberFormat="1" applyFont="1" applyBorder="1"/>
    <xf numFmtId="0" fontId="10" fillId="0" borderId="25" xfId="0" applyFont="1" applyBorder="1" applyAlignment="1">
      <alignment horizontal="left" vertical="center"/>
    </xf>
    <xf numFmtId="0" fontId="10" fillId="0" borderId="26" xfId="0" applyFont="1" applyBorder="1" applyAlignment="1">
      <alignment horizontal="left" vertical="center"/>
    </xf>
    <xf numFmtId="3" fontId="7" fillId="0" borderId="19" xfId="0" applyNumberFormat="1" applyFont="1" applyBorder="1"/>
    <xf numFmtId="0" fontId="10" fillId="0" borderId="27" xfId="0" applyFont="1" applyBorder="1" applyAlignment="1">
      <alignment horizontal="left" vertical="center"/>
    </xf>
    <xf numFmtId="0" fontId="7" fillId="0" borderId="25" xfId="0" applyFont="1" applyBorder="1"/>
    <xf numFmtId="10" fontId="10" fillId="0" borderId="25" xfId="1" applyNumberFormat="1" applyFont="1" applyBorder="1" applyAlignment="1">
      <alignment horizontal="right" vertical="center"/>
    </xf>
    <xf numFmtId="10" fontId="10" fillId="0" borderId="25" xfId="0" applyNumberFormat="1" applyFont="1" applyBorder="1" applyAlignment="1">
      <alignment horizontal="right" vertical="center"/>
    </xf>
    <xf numFmtId="3" fontId="7" fillId="0" borderId="25" xfId="0" applyNumberFormat="1" applyFont="1" applyBorder="1"/>
    <xf numFmtId="4" fontId="7" fillId="0" borderId="25" xfId="0" applyNumberFormat="1" applyFont="1" applyBorder="1"/>
    <xf numFmtId="4" fontId="7" fillId="0" borderId="26" xfId="0" applyNumberFormat="1" applyFont="1" applyBorder="1"/>
    <xf numFmtId="3" fontId="0" fillId="0" borderId="4" xfId="0" applyNumberFormat="1" applyBorder="1"/>
    <xf numFmtId="0" fontId="0" fillId="0" borderId="5" xfId="0" applyBorder="1"/>
    <xf numFmtId="3" fontId="0" fillId="0" borderId="7" xfId="0" applyNumberFormat="1" applyBorder="1"/>
    <xf numFmtId="10" fontId="0" fillId="0" borderId="7" xfId="1" applyNumberFormat="1" applyFont="1" applyBorder="1"/>
    <xf numFmtId="9" fontId="0" fillId="0" borderId="7" xfId="1" applyFont="1" applyBorder="1"/>
    <xf numFmtId="10" fontId="0" fillId="0" borderId="7" xfId="0" applyNumberFormat="1" applyBorder="1"/>
    <xf numFmtId="0" fontId="0" fillId="0" borderId="14" xfId="0" applyBorder="1"/>
    <xf numFmtId="10" fontId="0" fillId="0" borderId="15" xfId="0" applyNumberFormat="1" applyBorder="1"/>
    <xf numFmtId="3" fontId="2" fillId="0" borderId="0" xfId="0" applyNumberFormat="1" applyFont="1"/>
    <xf numFmtId="3" fontId="9" fillId="0" borderId="2" xfId="0" applyNumberFormat="1" applyFont="1" applyBorder="1"/>
    <xf numFmtId="0" fontId="9" fillId="0" borderId="5" xfId="0" applyFont="1" applyBorder="1"/>
    <xf numFmtId="38" fontId="10" fillId="0" borderId="27" xfId="0" applyNumberFormat="1" applyFont="1" applyBorder="1" applyAlignment="1">
      <alignment horizontal="right" vertical="center"/>
    </xf>
    <xf numFmtId="0" fontId="2" fillId="0" borderId="0" xfId="0" applyFont="1" applyAlignment="1">
      <alignment horizontal="center"/>
    </xf>
    <xf numFmtId="0" fontId="2" fillId="0" borderId="0" xfId="0" applyFont="1"/>
    <xf numFmtId="0" fontId="12" fillId="0" borderId="0" xfId="0" applyFont="1" applyFill="1" applyBorder="1" applyAlignment="1">
      <alignment horizontal="left" vertical="center"/>
    </xf>
    <xf numFmtId="0" fontId="0" fillId="0" borderId="6" xfId="0" applyBorder="1"/>
    <xf numFmtId="9" fontId="2" fillId="0" borderId="6" xfId="0" applyNumberFormat="1" applyFont="1" applyBorder="1" applyAlignment="1">
      <alignment horizontal="center"/>
    </xf>
    <xf numFmtId="0" fontId="0" fillId="0" borderId="6" xfId="0" applyBorder="1" applyAlignment="1">
      <alignment horizontal="center"/>
    </xf>
    <xf numFmtId="9" fontId="0" fillId="0" borderId="6" xfId="0" applyNumberFormat="1" applyBorder="1" applyAlignment="1">
      <alignment horizontal="center"/>
    </xf>
    <xf numFmtId="38" fontId="2" fillId="0" borderId="6" xfId="0" applyNumberFormat="1" applyFont="1" applyBorder="1" applyAlignment="1">
      <alignment horizontal="center"/>
    </xf>
    <xf numFmtId="0" fontId="2" fillId="0" borderId="6" xfId="0" applyFont="1" applyBorder="1" applyAlignment="1">
      <alignment horizontal="center"/>
    </xf>
    <xf numFmtId="0" fontId="2" fillId="0" borderId="6" xfId="0" applyFont="1" applyBorder="1"/>
    <xf numFmtId="9" fontId="2" fillId="0" borderId="6" xfId="0" applyNumberFormat="1" applyFont="1" applyFill="1" applyBorder="1" applyAlignment="1">
      <alignment horizontal="center"/>
    </xf>
    <xf numFmtId="10" fontId="0" fillId="0" borderId="6" xfId="1" applyNumberFormat="1" applyFont="1" applyBorder="1" applyAlignment="1">
      <alignment horizontal="center"/>
    </xf>
    <xf numFmtId="0" fontId="2" fillId="0" borderId="0" xfId="0" applyFont="1" applyAlignment="1">
      <alignment horizontal="right"/>
    </xf>
    <xf numFmtId="0" fontId="7" fillId="0" borderId="0" xfId="0" applyFont="1" applyBorder="1"/>
    <xf numFmtId="0" fontId="6" fillId="0" borderId="14" xfId="0" applyFont="1" applyFill="1" applyBorder="1" applyAlignment="1">
      <alignment horizontal="left" vertical="center"/>
    </xf>
    <xf numFmtId="3" fontId="7" fillId="0" borderId="9" xfId="0" applyNumberFormat="1" applyFont="1" applyFill="1" applyBorder="1" applyAlignment="1">
      <alignment horizontal="right" vertical="center"/>
    </xf>
    <xf numFmtId="0" fontId="7" fillId="0" borderId="22" xfId="0" applyFont="1" applyFill="1" applyBorder="1" applyAlignment="1">
      <alignment horizontal="left" vertical="center"/>
    </xf>
    <xf numFmtId="3" fontId="7" fillId="0" borderId="28" xfId="0" applyNumberFormat="1" applyFont="1" applyFill="1" applyBorder="1" applyAlignment="1">
      <alignment horizontal="right" vertical="center"/>
    </xf>
    <xf numFmtId="3" fontId="0" fillId="0" borderId="9" xfId="0" applyNumberFormat="1" applyFont="1" applyFill="1" applyBorder="1"/>
    <xf numFmtId="3" fontId="9" fillId="0" borderId="9" xfId="0" applyNumberFormat="1" applyFont="1" applyFill="1" applyBorder="1"/>
    <xf numFmtId="0" fontId="6" fillId="0" borderId="8" xfId="0" applyFont="1" applyBorder="1" applyAlignment="1">
      <alignment horizontal="left" vertical="center"/>
    </xf>
    <xf numFmtId="3" fontId="6" fillId="0" borderId="9" xfId="0" applyNumberFormat="1" applyFont="1" applyBorder="1" applyAlignment="1">
      <alignment horizontal="right" vertical="center"/>
    </xf>
    <xf numFmtId="0" fontId="19" fillId="0" borderId="0" xfId="0" applyFont="1" applyAlignment="1">
      <alignment horizontal="left" vertical="center" wrapText="1"/>
    </xf>
    <xf numFmtId="0" fontId="20" fillId="2" borderId="0" xfId="0" applyFont="1" applyFill="1" applyBorder="1" applyAlignment="1">
      <alignment horizontal="center" vertical="center" wrapText="1"/>
    </xf>
    <xf numFmtId="0" fontId="18" fillId="2" borderId="0" xfId="0" applyFont="1" applyFill="1" applyBorder="1" applyAlignment="1">
      <alignment vertical="center" wrapText="1"/>
    </xf>
    <xf numFmtId="3" fontId="18"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vertical="center" wrapText="1"/>
    </xf>
    <xf numFmtId="3" fontId="22" fillId="2" borderId="0" xfId="0" applyNumberFormat="1" applyFont="1" applyFill="1" applyBorder="1" applyAlignment="1">
      <alignment horizontal="center" vertical="center" wrapText="1"/>
    </xf>
    <xf numFmtId="0" fontId="24" fillId="2" borderId="0" xfId="0" applyFont="1" applyFill="1" applyBorder="1" applyAlignment="1">
      <alignment vertical="center" wrapText="1"/>
    </xf>
    <xf numFmtId="0" fontId="22"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0" fillId="0" borderId="0" xfId="0" applyAlignment="1"/>
    <xf numFmtId="0" fontId="0" fillId="0" borderId="0" xfId="0" applyBorder="1"/>
    <xf numFmtId="0" fontId="10" fillId="0" borderId="32" xfId="0" applyFont="1" applyBorder="1" applyAlignment="1">
      <alignment horizontal="left" vertical="center"/>
    </xf>
    <xf numFmtId="0" fontId="0" fillId="0" borderId="34" xfId="0" applyBorder="1"/>
    <xf numFmtId="0" fontId="12" fillId="0" borderId="0" xfId="0" applyFont="1"/>
    <xf numFmtId="0" fontId="12" fillId="0" borderId="0" xfId="0" applyFont="1" applyAlignment="1">
      <alignment vertical="center"/>
    </xf>
    <xf numFmtId="3" fontId="12" fillId="0" borderId="0" xfId="0" applyNumberFormat="1" applyFont="1"/>
    <xf numFmtId="3" fontId="7" fillId="0" borderId="35" xfId="0" applyNumberFormat="1" applyFont="1" applyFill="1" applyBorder="1" applyAlignment="1">
      <alignment wrapText="1"/>
    </xf>
    <xf numFmtId="3" fontId="7" fillId="0" borderId="36" xfId="0" applyNumberFormat="1" applyFont="1" applyFill="1" applyBorder="1" applyAlignment="1">
      <alignment wrapText="1"/>
    </xf>
    <xf numFmtId="3" fontId="7" fillId="2" borderId="0" xfId="0" applyNumberFormat="1" applyFont="1" applyFill="1" applyBorder="1"/>
    <xf numFmtId="3" fontId="7" fillId="0" borderId="7" xfId="0" applyNumberFormat="1" applyFont="1" applyFill="1" applyBorder="1"/>
    <xf numFmtId="9" fontId="10" fillId="0" borderId="33" xfId="1" applyFont="1" applyBorder="1" applyAlignment="1">
      <alignment horizontal="right" vertical="center"/>
    </xf>
    <xf numFmtId="0" fontId="0" fillId="0" borderId="8" xfId="0" applyBorder="1"/>
    <xf numFmtId="9" fontId="0" fillId="0" borderId="10" xfId="1" applyFont="1" applyBorder="1"/>
    <xf numFmtId="0" fontId="25" fillId="0" borderId="53" xfId="0" applyFont="1" applyBorder="1"/>
    <xf numFmtId="0" fontId="6" fillId="0" borderId="53" xfId="0" applyFont="1" applyBorder="1" applyAlignment="1">
      <alignment horizontal="left" vertical="center"/>
    </xf>
    <xf numFmtId="0" fontId="7" fillId="0" borderId="9" xfId="0" applyFont="1" applyBorder="1" applyAlignment="1">
      <alignment horizontal="left" vertical="center"/>
    </xf>
    <xf numFmtId="3" fontId="7" fillId="0" borderId="9" xfId="0" applyNumberFormat="1" applyFont="1" applyBorder="1" applyAlignment="1">
      <alignment horizontal="left" vertical="center" wrapText="1"/>
    </xf>
    <xf numFmtId="9" fontId="7" fillId="0" borderId="9" xfId="1" applyFont="1" applyBorder="1" applyAlignment="1">
      <alignment horizontal="center"/>
    </xf>
    <xf numFmtId="3" fontId="7" fillId="0" borderId="9" xfId="0" applyNumberFormat="1" applyFont="1" applyBorder="1"/>
    <xf numFmtId="0" fontId="7" fillId="0" borderId="53" xfId="0" applyFont="1" applyBorder="1" applyAlignment="1">
      <alignment horizontal="left" vertical="center"/>
    </xf>
    <xf numFmtId="3" fontId="7" fillId="0" borderId="55" xfId="0" applyNumberFormat="1" applyFont="1" applyBorder="1" applyAlignment="1">
      <alignment horizontal="center" vertical="center"/>
    </xf>
    <xf numFmtId="3" fontId="7" fillId="0" borderId="55" xfId="0" applyNumberFormat="1" applyFont="1" applyBorder="1"/>
    <xf numFmtId="3" fontId="6" fillId="3" borderId="12" xfId="0" applyNumberFormat="1" applyFont="1" applyFill="1" applyBorder="1" applyAlignment="1">
      <alignment horizontal="center" vertical="center"/>
    </xf>
    <xf numFmtId="3" fontId="7" fillId="3" borderId="12" xfId="0" applyNumberFormat="1" applyFont="1" applyFill="1" applyBorder="1" applyAlignment="1">
      <alignment horizontal="center" vertical="center" wrapText="1"/>
    </xf>
    <xf numFmtId="3" fontId="7" fillId="3" borderId="6" xfId="0" applyNumberFormat="1" applyFont="1" applyFill="1" applyBorder="1" applyAlignment="1">
      <alignment horizontal="right" vertical="center"/>
    </xf>
    <xf numFmtId="3" fontId="7" fillId="4" borderId="54" xfId="0" applyNumberFormat="1" applyFont="1" applyFill="1" applyBorder="1"/>
    <xf numFmtId="3" fontId="7" fillId="4" borderId="6" xfId="0" applyNumberFormat="1" applyFont="1" applyFill="1" applyBorder="1" applyAlignment="1">
      <alignment horizontal="right" vertical="center"/>
    </xf>
    <xf numFmtId="3" fontId="6" fillId="5" borderId="6" xfId="0" applyNumberFormat="1" applyFont="1" applyFill="1" applyBorder="1" applyAlignment="1">
      <alignment horizontal="right" vertical="center"/>
    </xf>
    <xf numFmtId="3" fontId="7" fillId="5" borderId="6" xfId="0" applyNumberFormat="1" applyFont="1" applyFill="1" applyBorder="1" applyAlignment="1">
      <alignment horizontal="right" vertical="center"/>
    </xf>
    <xf numFmtId="3" fontId="7" fillId="5" borderId="7" xfId="0" applyNumberFormat="1" applyFont="1" applyFill="1" applyBorder="1" applyAlignment="1">
      <alignment horizontal="right" vertical="center"/>
    </xf>
    <xf numFmtId="3" fontId="6" fillId="6" borderId="6" xfId="0" applyNumberFormat="1" applyFont="1" applyFill="1" applyBorder="1" applyAlignment="1">
      <alignment horizontal="right" vertical="center"/>
    </xf>
    <xf numFmtId="3" fontId="6" fillId="7" borderId="6" xfId="0" applyNumberFormat="1" applyFont="1" applyFill="1" applyBorder="1" applyAlignment="1">
      <alignment horizontal="right" vertical="center"/>
    </xf>
    <xf numFmtId="3" fontId="6" fillId="7" borderId="7" xfId="0" applyNumberFormat="1" applyFont="1" applyFill="1" applyBorder="1" applyAlignment="1">
      <alignment horizontal="right" vertical="center"/>
    </xf>
    <xf numFmtId="3" fontId="7" fillId="7" borderId="6" xfId="0" applyNumberFormat="1" applyFont="1" applyFill="1" applyBorder="1" applyAlignment="1">
      <alignment horizontal="right" vertical="center"/>
    </xf>
    <xf numFmtId="3" fontId="6" fillId="8" borderId="55" xfId="0" applyNumberFormat="1" applyFont="1" applyFill="1" applyBorder="1" applyAlignment="1">
      <alignment horizontal="right" vertical="center"/>
    </xf>
    <xf numFmtId="3" fontId="6" fillId="8" borderId="54" xfId="0" applyNumberFormat="1" applyFont="1" applyFill="1" applyBorder="1" applyAlignment="1">
      <alignment horizontal="right" vertical="center"/>
    </xf>
    <xf numFmtId="3" fontId="7" fillId="8" borderId="6" xfId="0" applyNumberFormat="1" applyFont="1" applyFill="1" applyBorder="1" applyAlignment="1">
      <alignment horizontal="right" vertical="center"/>
    </xf>
    <xf numFmtId="3" fontId="7" fillId="9" borderId="10" xfId="0" applyNumberFormat="1" applyFont="1" applyFill="1" applyBorder="1" applyAlignment="1">
      <alignment horizontal="right" vertical="center"/>
    </xf>
    <xf numFmtId="3" fontId="7" fillId="6" borderId="6" xfId="0" applyNumberFormat="1" applyFont="1" applyFill="1" applyBorder="1" applyAlignment="1">
      <alignment horizontal="right" vertical="center"/>
    </xf>
    <xf numFmtId="3" fontId="7" fillId="11" borderId="6" xfId="0" applyNumberFormat="1" applyFont="1" applyFill="1" applyBorder="1" applyAlignment="1">
      <alignment horizontal="right" vertical="center"/>
    </xf>
    <xf numFmtId="3" fontId="7" fillId="10" borderId="6" xfId="0" applyNumberFormat="1" applyFont="1" applyFill="1" applyBorder="1" applyAlignment="1">
      <alignment horizontal="right" vertical="center"/>
    </xf>
    <xf numFmtId="3" fontId="10" fillId="2" borderId="6" xfId="0" applyNumberFormat="1" applyFont="1" applyFill="1" applyBorder="1" applyAlignment="1">
      <alignment horizontal="center" vertical="center"/>
    </xf>
    <xf numFmtId="3" fontId="10" fillId="0" borderId="6" xfId="0" applyNumberFormat="1" applyFont="1" applyBorder="1" applyAlignment="1">
      <alignment horizontal="center"/>
    </xf>
    <xf numFmtId="3" fontId="10" fillId="10" borderId="6" xfId="1" applyNumberFormat="1" applyFont="1" applyFill="1" applyBorder="1" applyAlignment="1">
      <alignment horizontal="center" vertical="center"/>
    </xf>
    <xf numFmtId="3" fontId="10" fillId="11" borderId="7" xfId="0" applyNumberFormat="1" applyFont="1" applyFill="1" applyBorder="1" applyAlignment="1">
      <alignment horizontal="center"/>
    </xf>
    <xf numFmtId="3" fontId="6" fillId="12" borderId="55" xfId="0" applyNumberFormat="1" applyFont="1" applyFill="1" applyBorder="1" applyAlignment="1">
      <alignment horizontal="right" vertical="center"/>
    </xf>
    <xf numFmtId="10" fontId="26" fillId="12" borderId="54" xfId="0" applyNumberFormat="1" applyFont="1" applyFill="1" applyBorder="1"/>
    <xf numFmtId="38" fontId="10" fillId="12" borderId="27" xfId="0" applyNumberFormat="1" applyFont="1" applyFill="1" applyBorder="1" applyAlignment="1">
      <alignment horizontal="right" vertical="center"/>
    </xf>
    <xf numFmtId="10" fontId="10" fillId="12" borderId="25" xfId="0" applyNumberFormat="1" applyFont="1" applyFill="1" applyBorder="1" applyAlignment="1">
      <alignment horizontal="right" vertical="center"/>
    </xf>
    <xf numFmtId="10" fontId="7" fillId="12" borderId="25" xfId="1" applyNumberFormat="1" applyFont="1" applyFill="1" applyBorder="1"/>
    <xf numFmtId="10" fontId="10" fillId="12" borderId="19" xfId="0" applyNumberFormat="1" applyFont="1" applyFill="1" applyBorder="1" applyAlignment="1">
      <alignment horizontal="right" vertical="center"/>
    </xf>
    <xf numFmtId="10" fontId="7" fillId="12" borderId="19" xfId="1" applyNumberFormat="1" applyFont="1" applyFill="1" applyBorder="1"/>
    <xf numFmtId="3" fontId="3" fillId="0" borderId="0" xfId="0" applyNumberFormat="1" applyFont="1" applyBorder="1"/>
    <xf numFmtId="0" fontId="7" fillId="0" borderId="5" xfId="0" applyFont="1" applyBorder="1" applyAlignment="1">
      <alignment horizontal="left" vertical="center" wrapText="1" indent="1"/>
    </xf>
    <xf numFmtId="0" fontId="7" fillId="0" borderId="8" xfId="0" applyFont="1" applyBorder="1" applyAlignment="1">
      <alignment horizontal="left" vertical="center" wrapText="1" indent="1"/>
    </xf>
    <xf numFmtId="3" fontId="7" fillId="0" borderId="18" xfId="0" applyNumberFormat="1" applyFont="1" applyBorder="1"/>
    <xf numFmtId="3" fontId="7" fillId="0" borderId="7" xfId="0" applyNumberFormat="1" applyFont="1" applyFill="1" applyBorder="1" applyAlignment="1">
      <alignment horizontal="center"/>
    </xf>
    <xf numFmtId="0" fontId="21" fillId="2" borderId="0" xfId="0" applyFont="1" applyFill="1" applyBorder="1" applyAlignment="1">
      <alignment horizontal="left" vertical="center" wrapText="1"/>
    </xf>
    <xf numFmtId="0" fontId="7" fillId="0" borderId="0" xfId="0" applyFont="1" applyFill="1"/>
    <xf numFmtId="0" fontId="7" fillId="0" borderId="0" xfId="0" applyFont="1" applyFill="1" applyBorder="1" applyAlignment="1">
      <alignment horizontal="center" vertical="center"/>
    </xf>
    <xf numFmtId="3" fontId="0" fillId="0" borderId="0" xfId="0" applyNumberFormat="1" applyFont="1" applyFill="1" applyBorder="1"/>
    <xf numFmtId="3" fontId="7" fillId="7" borderId="7" xfId="0" applyNumberFormat="1" applyFont="1" applyFill="1" applyBorder="1" applyAlignment="1">
      <alignment horizontal="right" vertical="center"/>
    </xf>
    <xf numFmtId="3" fontId="7" fillId="8" borderId="7" xfId="0" applyNumberFormat="1" applyFont="1" applyFill="1" applyBorder="1" applyAlignment="1">
      <alignment horizontal="right" vertical="center"/>
    </xf>
    <xf numFmtId="0" fontId="6" fillId="0" borderId="62" xfId="0" applyFont="1" applyFill="1" applyBorder="1" applyAlignment="1">
      <alignment horizontal="left" vertical="center"/>
    </xf>
    <xf numFmtId="3" fontId="6" fillId="12" borderId="63" xfId="0" applyNumberFormat="1" applyFont="1" applyFill="1" applyBorder="1" applyAlignment="1">
      <alignment horizontal="right" vertical="center"/>
    </xf>
    <xf numFmtId="3" fontId="6" fillId="12" borderId="64" xfId="0" applyNumberFormat="1" applyFont="1" applyFill="1" applyBorder="1" applyAlignment="1">
      <alignment horizontal="right" vertical="center"/>
    </xf>
    <xf numFmtId="38" fontId="10" fillId="12" borderId="17" xfId="0" applyNumberFormat="1" applyFont="1" applyFill="1" applyBorder="1" applyAlignment="1">
      <alignment horizontal="right" vertical="center"/>
    </xf>
    <xf numFmtId="10" fontId="10" fillId="0" borderId="19" xfId="1" applyNumberFormat="1" applyFont="1" applyBorder="1" applyAlignment="1">
      <alignment horizontal="right" vertical="center"/>
    </xf>
    <xf numFmtId="43" fontId="7" fillId="12" borderId="24" xfId="2" applyNumberFormat="1" applyFont="1" applyFill="1" applyBorder="1"/>
    <xf numFmtId="3" fontId="6" fillId="9" borderId="6" xfId="0" applyNumberFormat="1" applyFont="1" applyFill="1" applyBorder="1" applyAlignment="1">
      <alignment horizontal="right" vertical="center"/>
    </xf>
    <xf numFmtId="0" fontId="10" fillId="2" borderId="0" xfId="0" applyFont="1" applyFill="1" applyBorder="1" applyAlignment="1">
      <alignment horizontal="center" vertical="center"/>
    </xf>
    <xf numFmtId="0" fontId="10" fillId="2" borderId="14" xfId="0" applyFont="1" applyFill="1" applyBorder="1" applyAlignment="1">
      <alignment horizontal="center" vertical="center"/>
    </xf>
    <xf numFmtId="3" fontId="10" fillId="0" borderId="18" xfId="0" applyNumberFormat="1" applyFont="1" applyBorder="1" applyAlignment="1">
      <alignment horizontal="center"/>
    </xf>
    <xf numFmtId="3" fontId="10" fillId="10" borderId="18" xfId="1" applyNumberFormat="1" applyFont="1" applyFill="1" applyBorder="1" applyAlignment="1">
      <alignment horizontal="center" vertical="center"/>
    </xf>
    <xf numFmtId="3" fontId="10" fillId="11" borderId="15" xfId="0" applyNumberFormat="1" applyFont="1" applyFill="1" applyBorder="1" applyAlignment="1">
      <alignment horizontal="center"/>
    </xf>
    <xf numFmtId="3" fontId="6" fillId="0" borderId="0" xfId="0" applyNumberFormat="1" applyFont="1" applyFill="1" applyBorder="1" applyAlignment="1">
      <alignment horizontal="right" vertical="center"/>
    </xf>
    <xf numFmtId="3" fontId="7" fillId="0" borderId="7" xfId="0" applyNumberFormat="1" applyFont="1" applyFill="1" applyBorder="1" applyAlignment="1">
      <alignment horizontal="right" vertical="center"/>
    </xf>
    <xf numFmtId="0" fontId="6" fillId="0" borderId="65" xfId="0" applyFont="1" applyFill="1" applyBorder="1" applyAlignment="1">
      <alignment horizontal="left" vertical="center"/>
    </xf>
    <xf numFmtId="3" fontId="6" fillId="12" borderId="66" xfId="0" applyNumberFormat="1" applyFont="1" applyFill="1" applyBorder="1" applyAlignment="1">
      <alignment horizontal="right" vertical="center"/>
    </xf>
    <xf numFmtId="3" fontId="7" fillId="0" borderId="33" xfId="0" applyNumberFormat="1" applyFont="1" applyFill="1" applyBorder="1" applyAlignment="1">
      <alignment horizontal="right" vertical="center"/>
    </xf>
    <xf numFmtId="3" fontId="7" fillId="11" borderId="7" xfId="0" applyNumberFormat="1" applyFont="1" applyFill="1" applyBorder="1" applyAlignment="1">
      <alignment horizontal="right" vertical="center"/>
    </xf>
    <xf numFmtId="3" fontId="7" fillId="10" borderId="7" xfId="0" applyNumberFormat="1" applyFont="1" applyFill="1" applyBorder="1" applyAlignment="1">
      <alignment horizontal="right" vertical="center"/>
    </xf>
    <xf numFmtId="3" fontId="7" fillId="0" borderId="18" xfId="0" applyNumberFormat="1" applyFont="1" applyFill="1" applyBorder="1" applyAlignment="1">
      <alignment horizontal="right" vertical="center"/>
    </xf>
    <xf numFmtId="3" fontId="7" fillId="0" borderId="15" xfId="0" applyNumberFormat="1" applyFont="1" applyFill="1" applyBorder="1" applyAlignment="1">
      <alignment horizontal="right" vertical="center"/>
    </xf>
    <xf numFmtId="0" fontId="0" fillId="0" borderId="0" xfId="0" applyBorder="1" applyAlignment="1"/>
    <xf numFmtId="4" fontId="7" fillId="12" borderId="26" xfId="0" applyNumberFormat="1" applyFont="1" applyFill="1" applyBorder="1"/>
    <xf numFmtId="0" fontId="28" fillId="0" borderId="0" xfId="0" applyFont="1"/>
    <xf numFmtId="0" fontId="4" fillId="0" borderId="0" xfId="0" applyFont="1" applyAlignment="1">
      <alignment horizontal="center"/>
    </xf>
    <xf numFmtId="0" fontId="10" fillId="0" borderId="0" xfId="0" applyFont="1" applyAlignment="1">
      <alignment horizontal="left" vertical="top" wrapText="1"/>
    </xf>
    <xf numFmtId="0" fontId="0" fillId="0" borderId="0" xfId="0" applyAlignment="1">
      <alignment horizontal="left" vertical="top" wrapText="1"/>
    </xf>
    <xf numFmtId="10" fontId="7" fillId="0" borderId="0" xfId="0" applyNumberFormat="1" applyFont="1" applyBorder="1"/>
    <xf numFmtId="0" fontId="6" fillId="0" borderId="6" xfId="0" applyFont="1" applyBorder="1"/>
    <xf numFmtId="0" fontId="6" fillId="0" borderId="6" xfId="0" applyFont="1" applyBorder="1" applyAlignment="1">
      <alignment horizontal="center"/>
    </xf>
    <xf numFmtId="0" fontId="7" fillId="0" borderId="6" xfId="0" applyFont="1" applyBorder="1"/>
    <xf numFmtId="9" fontId="7" fillId="0" borderId="6" xfId="0" applyNumberFormat="1" applyFont="1" applyBorder="1" applyAlignment="1">
      <alignment horizontal="center"/>
    </xf>
    <xf numFmtId="9" fontId="7" fillId="0" borderId="0" xfId="0" applyNumberFormat="1" applyFont="1" applyBorder="1" applyAlignment="1">
      <alignment horizontal="center"/>
    </xf>
    <xf numFmtId="38" fontId="6" fillId="0" borderId="0" xfId="0" applyNumberFormat="1" applyFont="1" applyBorder="1" applyAlignment="1">
      <alignment horizontal="center" vertical="center"/>
    </xf>
    <xf numFmtId="10" fontId="1" fillId="0" borderId="6" xfId="1" applyNumberFormat="1" applyFont="1" applyBorder="1" applyAlignment="1">
      <alignment horizontal="center"/>
    </xf>
    <xf numFmtId="0" fontId="27" fillId="0" borderId="0" xfId="0" applyFont="1"/>
    <xf numFmtId="0" fontId="0" fillId="0" borderId="0" xfId="0" applyAlignment="1">
      <alignment horizontal="left" wrapText="1"/>
    </xf>
    <xf numFmtId="0" fontId="0" fillId="0" borderId="0" xfId="0" applyAlignment="1">
      <alignment horizontal="left"/>
    </xf>
    <xf numFmtId="0" fontId="2" fillId="0" borderId="30" xfId="0" applyFont="1" applyBorder="1" applyAlignment="1">
      <alignment horizontal="center"/>
    </xf>
    <xf numFmtId="0" fontId="2" fillId="0" borderId="6" xfId="0" applyFont="1" applyBorder="1" applyAlignment="1">
      <alignment horizontal="center"/>
    </xf>
    <xf numFmtId="38" fontId="2" fillId="0" borderId="9" xfId="0" applyNumberFormat="1" applyFont="1" applyBorder="1" applyAlignment="1">
      <alignment horizontal="center" vertical="center"/>
    </xf>
    <xf numFmtId="38" fontId="2" fillId="0" borderId="29" xfId="0" applyNumberFormat="1" applyFont="1" applyBorder="1" applyAlignment="1">
      <alignment horizontal="center" vertical="center"/>
    </xf>
    <xf numFmtId="38" fontId="2" fillId="0" borderId="28" xfId="0" applyNumberFormat="1" applyFont="1" applyBorder="1" applyAlignment="1">
      <alignment horizontal="center" vertical="center"/>
    </xf>
    <xf numFmtId="0" fontId="4" fillId="0" borderId="0" xfId="0" applyFont="1" applyAlignment="1">
      <alignment horizontal="center"/>
    </xf>
    <xf numFmtId="0" fontId="10" fillId="0" borderId="67" xfId="0" applyFont="1" applyBorder="1" applyAlignment="1">
      <alignment horizontal="left" vertical="top" wrapText="1"/>
    </xf>
    <xf numFmtId="0" fontId="0" fillId="0" borderId="68" xfId="0" applyFont="1" applyBorder="1" applyAlignment="1">
      <alignment horizontal="left" vertical="top" wrapText="1"/>
    </xf>
    <xf numFmtId="0" fontId="0" fillId="0" borderId="69" xfId="0" applyFont="1" applyBorder="1" applyAlignment="1">
      <alignment horizontal="left" vertical="top" wrapText="1"/>
    </xf>
    <xf numFmtId="0" fontId="10" fillId="0" borderId="68" xfId="0" applyFont="1" applyBorder="1" applyAlignment="1">
      <alignment horizontal="left" vertical="top" wrapText="1"/>
    </xf>
    <xf numFmtId="0" fontId="10" fillId="0" borderId="69" xfId="0" applyFont="1" applyBorder="1" applyAlignment="1">
      <alignment horizontal="left" vertical="top" wrapText="1"/>
    </xf>
    <xf numFmtId="38" fontId="6" fillId="0" borderId="9" xfId="0" applyNumberFormat="1" applyFont="1" applyBorder="1" applyAlignment="1">
      <alignment horizontal="center" vertical="center"/>
    </xf>
    <xf numFmtId="38" fontId="6" fillId="0" borderId="29" xfId="0" applyNumberFormat="1" applyFont="1" applyBorder="1" applyAlignment="1">
      <alignment horizontal="center" vertical="center"/>
    </xf>
    <xf numFmtId="38" fontId="6" fillId="0" borderId="28" xfId="0" applyNumberFormat="1" applyFont="1" applyBorder="1" applyAlignment="1">
      <alignment horizontal="center" vertical="center"/>
    </xf>
    <xf numFmtId="3" fontId="0" fillId="0" borderId="45" xfId="0" applyNumberFormat="1" applyBorder="1" applyAlignment="1">
      <alignment horizontal="left" vertical="top" wrapText="1"/>
    </xf>
    <xf numFmtId="3" fontId="0" fillId="0" borderId="47" xfId="0" applyNumberFormat="1" applyBorder="1" applyAlignment="1">
      <alignment horizontal="left" vertical="top" wrapText="1"/>
    </xf>
    <xf numFmtId="3" fontId="0" fillId="0" borderId="48" xfId="0" applyNumberFormat="1" applyBorder="1" applyAlignment="1">
      <alignment horizontal="left" vertical="top" wrapText="1"/>
    </xf>
    <xf numFmtId="3" fontId="0" fillId="0" borderId="49" xfId="0" applyNumberFormat="1" applyBorder="1" applyAlignment="1">
      <alignment horizontal="left" vertical="top" wrapText="1"/>
    </xf>
    <xf numFmtId="0" fontId="0" fillId="0" borderId="48" xfId="0" applyBorder="1" applyAlignment="1"/>
    <xf numFmtId="0" fontId="0" fillId="0" borderId="49" xfId="0" applyBorder="1" applyAlignment="1"/>
    <xf numFmtId="0" fontId="0" fillId="0" borderId="50" xfId="0" applyBorder="1" applyAlignment="1"/>
    <xf numFmtId="0" fontId="0" fillId="0" borderId="52" xfId="0" applyBorder="1" applyAlignment="1"/>
    <xf numFmtId="3" fontId="7" fillId="0" borderId="45" xfId="0" applyNumberFormat="1" applyFont="1" applyBorder="1" applyAlignment="1">
      <alignment horizontal="left" vertical="top" wrapText="1"/>
    </xf>
    <xf numFmtId="3" fontId="7" fillId="0" borderId="46" xfId="0" applyNumberFormat="1" applyFont="1" applyBorder="1" applyAlignment="1">
      <alignment horizontal="left" vertical="top" wrapText="1"/>
    </xf>
    <xf numFmtId="3" fontId="7" fillId="0" borderId="47" xfId="0" applyNumberFormat="1" applyFont="1" applyBorder="1" applyAlignment="1">
      <alignment horizontal="left" vertical="top" wrapText="1"/>
    </xf>
    <xf numFmtId="3" fontId="7" fillId="0" borderId="48" xfId="0" applyNumberFormat="1" applyFont="1" applyBorder="1" applyAlignment="1">
      <alignment horizontal="left" vertical="top" wrapText="1"/>
    </xf>
    <xf numFmtId="3" fontId="7" fillId="0" borderId="0" xfId="0" applyNumberFormat="1" applyFont="1" applyBorder="1" applyAlignment="1">
      <alignment horizontal="left" vertical="top" wrapText="1"/>
    </xf>
    <xf numFmtId="3" fontId="7" fillId="0" borderId="49" xfId="0" applyNumberFormat="1" applyFont="1" applyBorder="1" applyAlignment="1">
      <alignment horizontal="left" vertical="top" wrapText="1"/>
    </xf>
    <xf numFmtId="3" fontId="7" fillId="0" borderId="50" xfId="0" applyNumberFormat="1" applyFont="1" applyBorder="1" applyAlignment="1">
      <alignment horizontal="left" vertical="top" wrapText="1"/>
    </xf>
    <xf numFmtId="3" fontId="7" fillId="0" borderId="51" xfId="0" applyNumberFormat="1" applyFont="1" applyBorder="1" applyAlignment="1">
      <alignment horizontal="left" vertical="top" wrapText="1"/>
    </xf>
    <xf numFmtId="3" fontId="7" fillId="0" borderId="52" xfId="0" applyNumberFormat="1" applyFont="1" applyBorder="1" applyAlignment="1">
      <alignment horizontal="left" vertical="top" wrapText="1"/>
    </xf>
    <xf numFmtId="3" fontId="7" fillId="0" borderId="56" xfId="0" applyNumberFormat="1" applyFont="1" applyBorder="1" applyAlignment="1">
      <alignment horizontal="left" vertical="top" wrapText="1"/>
    </xf>
    <xf numFmtId="3" fontId="7" fillId="0" borderId="57" xfId="0" applyNumberFormat="1" applyFont="1" applyBorder="1" applyAlignment="1">
      <alignment horizontal="left" vertical="top" wrapText="1"/>
    </xf>
    <xf numFmtId="0" fontId="0" fillId="0" borderId="58" xfId="0" applyBorder="1" applyAlignment="1"/>
    <xf numFmtId="3" fontId="7" fillId="0" borderId="59" xfId="0" applyNumberFormat="1" applyFont="1" applyBorder="1" applyAlignment="1">
      <alignment horizontal="left" vertical="top" wrapText="1"/>
    </xf>
    <xf numFmtId="0" fontId="0" fillId="0" borderId="1" xfId="0" applyBorder="1" applyAlignment="1"/>
    <xf numFmtId="3" fontId="7" fillId="0" borderId="60" xfId="0" applyNumberFormat="1" applyFont="1" applyBorder="1" applyAlignment="1">
      <alignment horizontal="left" vertical="top" wrapText="1"/>
    </xf>
    <xf numFmtId="3" fontId="7" fillId="0" borderId="31" xfId="0" applyNumberFormat="1" applyFont="1" applyBorder="1" applyAlignment="1">
      <alignment horizontal="left" vertical="top" wrapText="1"/>
    </xf>
    <xf numFmtId="0" fontId="0" fillId="0" borderId="61" xfId="0" applyBorder="1" applyAlignment="1"/>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8" fillId="0" borderId="0" xfId="0" applyFont="1" applyBorder="1" applyAlignment="1">
      <alignment horizontal="center" vertical="center" wrapText="1"/>
    </xf>
    <xf numFmtId="0" fontId="7" fillId="0" borderId="45" xfId="0" applyFont="1" applyBorder="1" applyAlignment="1">
      <alignment horizontal="left" vertical="top" wrapText="1"/>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48" xfId="0" applyFont="1" applyBorder="1" applyAlignment="1">
      <alignment horizontal="left" vertical="top" wrapText="1"/>
    </xf>
    <xf numFmtId="0" fontId="7" fillId="0" borderId="0" xfId="0" applyFont="1" applyBorder="1" applyAlignment="1">
      <alignment horizontal="left" vertical="top" wrapText="1"/>
    </xf>
    <xf numFmtId="0" fontId="7" fillId="0" borderId="49" xfId="0" applyFont="1" applyBorder="1" applyAlignment="1">
      <alignment horizontal="left" vertical="top" wrapText="1"/>
    </xf>
    <xf numFmtId="0" fontId="7" fillId="0" borderId="50" xfId="0" applyFont="1" applyBorder="1" applyAlignment="1">
      <alignment horizontal="left" vertical="top" wrapText="1"/>
    </xf>
    <xf numFmtId="0" fontId="7" fillId="0" borderId="51" xfId="0" applyFont="1" applyBorder="1" applyAlignment="1">
      <alignment horizontal="left" vertical="top" wrapText="1"/>
    </xf>
    <xf numFmtId="0" fontId="7" fillId="0" borderId="52" xfId="0" applyFont="1" applyBorder="1" applyAlignment="1">
      <alignment horizontal="left" vertical="top" wrapText="1"/>
    </xf>
    <xf numFmtId="0" fontId="7" fillId="0" borderId="0" xfId="0" applyFont="1" applyBorder="1" applyAlignment="1">
      <alignment horizontal="center"/>
    </xf>
    <xf numFmtId="0" fontId="7" fillId="0" borderId="0" xfId="0" applyFont="1" applyAlignment="1">
      <alignment horizontal="center"/>
    </xf>
    <xf numFmtId="2" fontId="7" fillId="0" borderId="45" xfId="0" applyNumberFormat="1" applyFont="1" applyBorder="1" applyAlignment="1">
      <alignment horizontal="left" vertical="top" wrapText="1"/>
    </xf>
    <xf numFmtId="2" fontId="7" fillId="0" borderId="46" xfId="0" applyNumberFormat="1" applyFont="1" applyBorder="1" applyAlignment="1">
      <alignment horizontal="left" vertical="top" wrapText="1"/>
    </xf>
    <xf numFmtId="2" fontId="7" fillId="0" borderId="47" xfId="0" applyNumberFormat="1" applyFont="1" applyBorder="1" applyAlignment="1">
      <alignment horizontal="left" vertical="top" wrapText="1"/>
    </xf>
    <xf numFmtId="2" fontId="7" fillId="0" borderId="48" xfId="0" applyNumberFormat="1" applyFont="1" applyBorder="1" applyAlignment="1">
      <alignment horizontal="left" vertical="top" wrapText="1"/>
    </xf>
    <xf numFmtId="2" fontId="7" fillId="0" borderId="0" xfId="0" applyNumberFormat="1" applyFont="1" applyBorder="1" applyAlignment="1">
      <alignment horizontal="left" vertical="top" wrapText="1"/>
    </xf>
    <xf numFmtId="2" fontId="7" fillId="0" borderId="49" xfId="0" applyNumberFormat="1" applyFont="1" applyBorder="1" applyAlignment="1">
      <alignment horizontal="left" vertical="top" wrapText="1"/>
    </xf>
    <xf numFmtId="2" fontId="7" fillId="0" borderId="50" xfId="0" applyNumberFormat="1" applyFont="1" applyBorder="1" applyAlignment="1">
      <alignment horizontal="left" vertical="top" wrapText="1"/>
    </xf>
    <xf numFmtId="2" fontId="7" fillId="0" borderId="51" xfId="0" applyNumberFormat="1" applyFont="1" applyBorder="1" applyAlignment="1">
      <alignment horizontal="left" vertical="top" wrapText="1"/>
    </xf>
    <xf numFmtId="2" fontId="7" fillId="0" borderId="52" xfId="0" applyNumberFormat="1" applyFont="1" applyBorder="1" applyAlignment="1">
      <alignment horizontal="left" vertical="top" wrapText="1"/>
    </xf>
    <xf numFmtId="0" fontId="7" fillId="0" borderId="56" xfId="0" applyFont="1" applyBorder="1" applyAlignment="1">
      <alignment horizontal="left" vertical="top"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0" fontId="7" fillId="0" borderId="1" xfId="0" applyFont="1" applyBorder="1" applyAlignment="1">
      <alignment horizontal="left" vertical="top" wrapText="1"/>
    </xf>
    <xf numFmtId="0" fontId="7" fillId="0" borderId="60" xfId="0" applyFont="1" applyBorder="1" applyAlignment="1">
      <alignment horizontal="left" vertical="top" wrapText="1"/>
    </xf>
    <xf numFmtId="0" fontId="7" fillId="0" borderId="31" xfId="0" applyFont="1" applyBorder="1" applyAlignment="1">
      <alignment horizontal="left" vertical="top" wrapText="1"/>
    </xf>
    <xf numFmtId="0" fontId="7" fillId="0" borderId="61" xfId="0" applyFont="1" applyBorder="1" applyAlignment="1">
      <alignment horizontal="left" vertical="top" wrapText="1"/>
    </xf>
    <xf numFmtId="0" fontId="22" fillId="0" borderId="45" xfId="0" applyFont="1" applyBorder="1" applyAlignment="1">
      <alignment horizontal="left" vertical="top" wrapText="1"/>
    </xf>
    <xf numFmtId="0" fontId="22" fillId="0" borderId="46" xfId="0" applyFont="1" applyBorder="1" applyAlignment="1">
      <alignment horizontal="left" vertical="top" wrapText="1"/>
    </xf>
    <xf numFmtId="0" fontId="22" fillId="0" borderId="47" xfId="0" applyFont="1" applyBorder="1" applyAlignment="1">
      <alignment horizontal="left" vertical="top" wrapText="1"/>
    </xf>
    <xf numFmtId="0" fontId="22" fillId="0" borderId="48" xfId="0" applyFont="1" applyBorder="1" applyAlignment="1">
      <alignment horizontal="left" vertical="top" wrapText="1"/>
    </xf>
    <xf numFmtId="0" fontId="22" fillId="0" borderId="0" xfId="0" applyFont="1" applyBorder="1" applyAlignment="1">
      <alignment horizontal="left" vertical="top" wrapText="1"/>
    </xf>
    <xf numFmtId="0" fontId="22" fillId="0" borderId="49" xfId="0" applyFont="1" applyBorder="1" applyAlignment="1">
      <alignment horizontal="left" vertical="top" wrapText="1"/>
    </xf>
    <xf numFmtId="0" fontId="22" fillId="0" borderId="50" xfId="0" applyFont="1" applyBorder="1" applyAlignment="1">
      <alignment horizontal="left" vertical="top" wrapText="1"/>
    </xf>
    <xf numFmtId="0" fontId="22" fillId="0" borderId="51" xfId="0" applyFont="1" applyBorder="1" applyAlignment="1">
      <alignment horizontal="left" vertical="top" wrapText="1"/>
    </xf>
    <xf numFmtId="0" fontId="22" fillId="0" borderId="52" xfId="0" applyFont="1" applyBorder="1" applyAlignment="1">
      <alignment horizontal="left" vertical="top" wrapText="1"/>
    </xf>
    <xf numFmtId="3" fontId="6" fillId="0" borderId="16" xfId="0" applyNumberFormat="1" applyFont="1" applyBorder="1" applyAlignment="1">
      <alignment horizontal="center" vertical="center"/>
    </xf>
    <xf numFmtId="3" fontId="6" fillId="0" borderId="17" xfId="0" applyNumberFormat="1" applyFont="1" applyBorder="1" applyAlignment="1">
      <alignment horizontal="center" vertical="center"/>
    </xf>
    <xf numFmtId="3" fontId="7" fillId="0" borderId="37" xfId="0" applyNumberFormat="1" applyFont="1" applyFill="1" applyBorder="1" applyAlignment="1">
      <alignment horizontal="left" vertical="top" wrapText="1"/>
    </xf>
    <xf numFmtId="3" fontId="7" fillId="0" borderId="38" xfId="0" applyNumberFormat="1" applyFont="1" applyFill="1" applyBorder="1" applyAlignment="1">
      <alignment horizontal="left" vertical="top" wrapText="1"/>
    </xf>
    <xf numFmtId="3" fontId="7" fillId="0" borderId="39" xfId="0" applyNumberFormat="1" applyFont="1" applyFill="1" applyBorder="1" applyAlignment="1">
      <alignment horizontal="left" vertical="top" wrapText="1"/>
    </xf>
    <xf numFmtId="3" fontId="7" fillId="0" borderId="40" xfId="0" applyNumberFormat="1" applyFont="1" applyFill="1" applyBorder="1" applyAlignment="1">
      <alignment horizontal="left" vertical="top" wrapText="1"/>
    </xf>
    <xf numFmtId="3" fontId="7" fillId="0" borderId="35" xfId="0" applyNumberFormat="1" applyFont="1" applyFill="1" applyBorder="1" applyAlignment="1">
      <alignment horizontal="left" vertical="top" wrapText="1"/>
    </xf>
    <xf numFmtId="3" fontId="7" fillId="0" borderId="41" xfId="0" applyNumberFormat="1" applyFont="1" applyFill="1" applyBorder="1" applyAlignment="1">
      <alignment horizontal="left" vertical="top" wrapText="1"/>
    </xf>
    <xf numFmtId="3" fontId="7" fillId="0" borderId="42" xfId="0" applyNumberFormat="1" applyFont="1" applyFill="1" applyBorder="1" applyAlignment="1">
      <alignment horizontal="left" vertical="top" wrapText="1"/>
    </xf>
    <xf numFmtId="3" fontId="7" fillId="0" borderId="43" xfId="0" applyNumberFormat="1" applyFont="1" applyFill="1" applyBorder="1" applyAlignment="1">
      <alignment horizontal="left" vertical="top" wrapText="1"/>
    </xf>
    <xf numFmtId="3" fontId="7" fillId="0" borderId="44" xfId="0" applyNumberFormat="1" applyFont="1" applyFill="1" applyBorder="1" applyAlignment="1">
      <alignment horizontal="left" vertical="top" wrapText="1"/>
    </xf>
    <xf numFmtId="0" fontId="12" fillId="0" borderId="31" xfId="0" applyFont="1" applyBorder="1" applyAlignment="1">
      <alignment horizontal="left"/>
    </xf>
    <xf numFmtId="0" fontId="6" fillId="0" borderId="6" xfId="0" applyFont="1" applyBorder="1" applyAlignment="1">
      <alignment horizontal="left" vertical="center"/>
    </xf>
    <xf numFmtId="0" fontId="6" fillId="0" borderId="30" xfId="0" applyFont="1" applyBorder="1" applyAlignment="1">
      <alignment horizontal="center"/>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R" sz="1600"/>
              <a:t>Gráfico 2 Impacto en % según VAN</a:t>
            </a:r>
            <a:r>
              <a:rPr lang="es-CR" sz="1600" baseline="0"/>
              <a:t> (</a:t>
            </a:r>
            <a:r>
              <a:rPr lang="es-CR" sz="1600"/>
              <a:t>-10% y 10%)</a:t>
            </a:r>
          </a:p>
        </c:rich>
      </c:tx>
      <c:layout/>
      <c:overlay val="0"/>
    </c:title>
    <c:autoTitleDeleted val="0"/>
    <c:plotArea>
      <c:layout/>
      <c:barChart>
        <c:barDir val="col"/>
        <c:grouping val="clustered"/>
        <c:varyColors val="0"/>
        <c:ser>
          <c:idx val="0"/>
          <c:order val="0"/>
          <c:invertIfNegative val="0"/>
          <c:cat>
            <c:strRef>
              <c:f>'[1]Análisis Sensibilidad'!$E$99:$E$103</c:f>
              <c:strCache>
                <c:ptCount val="5"/>
                <c:pt idx="0">
                  <c:v>Inversión</c:v>
                </c:pt>
                <c:pt idx="1">
                  <c:v>Ingresos</c:v>
                </c:pt>
                <c:pt idx="2">
                  <c:v>Costos Variables</c:v>
                </c:pt>
                <c:pt idx="3">
                  <c:v>Costos Fijos</c:v>
                </c:pt>
                <c:pt idx="4">
                  <c:v>Tasa interés</c:v>
                </c:pt>
              </c:strCache>
            </c:strRef>
          </c:cat>
          <c:val>
            <c:numRef>
              <c:f>'[1]Análisis Sensibilidad'!$F$99:$F$103</c:f>
              <c:numCache>
                <c:formatCode>General</c:formatCode>
                <c:ptCount val="5"/>
                <c:pt idx="0">
                  <c:v>6.022774997701294E-2</c:v>
                </c:pt>
                <c:pt idx="1">
                  <c:v>-7.7477984196500829E-2</c:v>
                </c:pt>
                <c:pt idx="2">
                  <c:v>-2.7285017159528527E-2</c:v>
                </c:pt>
                <c:pt idx="3">
                  <c:v>-7.1947422177417019E-3</c:v>
                </c:pt>
                <c:pt idx="4">
                  <c:v>3.3262480730218084E-2</c:v>
                </c:pt>
              </c:numCache>
            </c:numRef>
          </c:val>
        </c:ser>
        <c:ser>
          <c:idx val="1"/>
          <c:order val="1"/>
          <c:invertIfNegative val="0"/>
          <c:cat>
            <c:strRef>
              <c:f>'[1]Análisis Sensibilidad'!$E$99:$E$103</c:f>
              <c:strCache>
                <c:ptCount val="5"/>
                <c:pt idx="0">
                  <c:v>Inversión</c:v>
                </c:pt>
                <c:pt idx="1">
                  <c:v>Ingresos</c:v>
                </c:pt>
                <c:pt idx="2">
                  <c:v>Costos Variables</c:v>
                </c:pt>
                <c:pt idx="3">
                  <c:v>Costos Fijos</c:v>
                </c:pt>
                <c:pt idx="4">
                  <c:v>Tasa interés</c:v>
                </c:pt>
              </c:strCache>
            </c:strRef>
          </c:cat>
          <c:val>
            <c:numRef>
              <c:f>'[1]Análisis Sensibilidad'!$G$99:$G$103</c:f>
              <c:numCache>
                <c:formatCode>General</c:formatCode>
                <c:ptCount val="5"/>
                <c:pt idx="0">
                  <c:v>-5.1343976686566692E-2</c:v>
                </c:pt>
                <c:pt idx="1">
                  <c:v>7.7477570015266714E-2</c:v>
                </c:pt>
                <c:pt idx="2">
                  <c:v>2.7284602978294419E-2</c:v>
                </c:pt>
                <c:pt idx="3">
                  <c:v>7.1947422177417019E-3</c:v>
                </c:pt>
                <c:pt idx="4">
                  <c:v>-3.1937100781062974E-2</c:v>
                </c:pt>
              </c:numCache>
            </c:numRef>
          </c:val>
        </c:ser>
        <c:dLbls>
          <c:showLegendKey val="0"/>
          <c:showVal val="0"/>
          <c:showCatName val="0"/>
          <c:showSerName val="0"/>
          <c:showPercent val="0"/>
          <c:showBubbleSize val="0"/>
        </c:dLbls>
        <c:gapWidth val="150"/>
        <c:axId val="55807360"/>
        <c:axId val="55809152"/>
      </c:barChart>
      <c:catAx>
        <c:axId val="55807360"/>
        <c:scaling>
          <c:orientation val="minMax"/>
        </c:scaling>
        <c:delete val="0"/>
        <c:axPos val="b"/>
        <c:numFmt formatCode="General" sourceLinked="1"/>
        <c:majorTickMark val="none"/>
        <c:minorTickMark val="none"/>
        <c:tickLblPos val="nextTo"/>
        <c:crossAx val="55809152"/>
        <c:crosses val="autoZero"/>
        <c:auto val="1"/>
        <c:lblAlgn val="ctr"/>
        <c:lblOffset val="100"/>
        <c:noMultiLvlLbl val="0"/>
      </c:catAx>
      <c:valAx>
        <c:axId val="55809152"/>
        <c:scaling>
          <c:orientation val="minMax"/>
        </c:scaling>
        <c:delete val="0"/>
        <c:axPos val="l"/>
        <c:majorGridlines/>
        <c:title>
          <c:layout/>
          <c:overlay val="0"/>
        </c:title>
        <c:numFmt formatCode="General" sourceLinked="1"/>
        <c:majorTickMark val="none"/>
        <c:minorTickMark val="none"/>
        <c:tickLblPos val="nextTo"/>
        <c:crossAx val="55807360"/>
        <c:crosses val="autoZero"/>
        <c:crossBetween val="between"/>
      </c:valAx>
      <c:dTable>
        <c:showHorzBorder val="1"/>
        <c:showVertBorder val="1"/>
        <c:showOutline val="1"/>
        <c:showKeys val="1"/>
      </c:dTable>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R" sz="1400" baseline="0"/>
              <a:t>Gráfico 1 VAN Comparativo (-10%, 0%, 10%)</a:t>
            </a:r>
            <a:endParaRPr lang="es-CR" sz="1400"/>
          </a:p>
        </c:rich>
      </c:tx>
      <c:layout/>
      <c:overlay val="0"/>
    </c:title>
    <c:autoTitleDeleted val="0"/>
    <c:plotArea>
      <c:layout/>
      <c:barChart>
        <c:barDir val="col"/>
        <c:grouping val="clustered"/>
        <c:varyColors val="0"/>
        <c:ser>
          <c:idx val="0"/>
          <c:order val="0"/>
          <c:invertIfNegative val="0"/>
          <c:cat>
            <c:strRef>
              <c:f>'[1]Análisis Sensibilidad'!$A$99:$A$103</c:f>
              <c:strCache>
                <c:ptCount val="5"/>
                <c:pt idx="0">
                  <c:v>Aumento o Disminución de Inversión</c:v>
                </c:pt>
                <c:pt idx="1">
                  <c:v>Aumento o Disminución de Ingresos</c:v>
                </c:pt>
                <c:pt idx="2">
                  <c:v>Aumento o Disminución de Costos Variables</c:v>
                </c:pt>
                <c:pt idx="3">
                  <c:v>Aumento o Disminución de Costos Fijos</c:v>
                </c:pt>
                <c:pt idx="4">
                  <c:v>Aumento o Disminución de Tasas de Interés</c:v>
                </c:pt>
              </c:strCache>
            </c:strRef>
          </c:cat>
          <c:val>
            <c:numRef>
              <c:f>'[1]Análisis Sensibilidad'!$B$99:$B$103</c:f>
              <c:numCache>
                <c:formatCode>General</c:formatCode>
                <c:ptCount val="5"/>
                <c:pt idx="0">
                  <c:v>2559816</c:v>
                </c:pt>
                <c:pt idx="1">
                  <c:v>2227339</c:v>
                </c:pt>
                <c:pt idx="2">
                  <c:v>2348525</c:v>
                </c:pt>
                <c:pt idx="3">
                  <c:v>2397031</c:v>
                </c:pt>
                <c:pt idx="4">
                  <c:v>2494711</c:v>
                </c:pt>
              </c:numCache>
            </c:numRef>
          </c:val>
        </c:ser>
        <c:ser>
          <c:idx val="1"/>
          <c:order val="1"/>
          <c:invertIfNegative val="0"/>
          <c:cat>
            <c:strRef>
              <c:f>'[1]Análisis Sensibilidad'!$A$99:$A$103</c:f>
              <c:strCache>
                <c:ptCount val="5"/>
                <c:pt idx="0">
                  <c:v>Aumento o Disminución de Inversión</c:v>
                </c:pt>
                <c:pt idx="1">
                  <c:v>Aumento o Disminución de Ingresos</c:v>
                </c:pt>
                <c:pt idx="2">
                  <c:v>Aumento o Disminución de Costos Variables</c:v>
                </c:pt>
                <c:pt idx="3">
                  <c:v>Aumento o Disminución de Costos Fijos</c:v>
                </c:pt>
                <c:pt idx="4">
                  <c:v>Aumento o Disminución de Tasas de Interés</c:v>
                </c:pt>
              </c:strCache>
            </c:strRef>
          </c:cat>
          <c:val>
            <c:numRef>
              <c:f>'[1]Análisis Sensibilidad'!$C$99:$C$103</c:f>
              <c:numCache>
                <c:formatCode>General</c:formatCode>
                <c:ptCount val="5"/>
                <c:pt idx="0">
                  <c:v>2414402</c:v>
                </c:pt>
                <c:pt idx="1">
                  <c:v>2414402</c:v>
                </c:pt>
                <c:pt idx="2">
                  <c:v>2414402</c:v>
                </c:pt>
                <c:pt idx="3">
                  <c:v>2414402</c:v>
                </c:pt>
                <c:pt idx="4">
                  <c:v>2414402</c:v>
                </c:pt>
              </c:numCache>
            </c:numRef>
          </c:val>
        </c:ser>
        <c:ser>
          <c:idx val="2"/>
          <c:order val="2"/>
          <c:invertIfNegative val="0"/>
          <c:cat>
            <c:strRef>
              <c:f>'[1]Análisis Sensibilidad'!$A$99:$A$103</c:f>
              <c:strCache>
                <c:ptCount val="5"/>
                <c:pt idx="0">
                  <c:v>Aumento o Disminución de Inversión</c:v>
                </c:pt>
                <c:pt idx="1">
                  <c:v>Aumento o Disminución de Ingresos</c:v>
                </c:pt>
                <c:pt idx="2">
                  <c:v>Aumento o Disminución de Costos Variables</c:v>
                </c:pt>
                <c:pt idx="3">
                  <c:v>Aumento o Disminución de Costos Fijos</c:v>
                </c:pt>
                <c:pt idx="4">
                  <c:v>Aumento o Disminución de Tasas de Interés</c:v>
                </c:pt>
              </c:strCache>
            </c:strRef>
          </c:cat>
          <c:val>
            <c:numRef>
              <c:f>'[1]Análisis Sensibilidad'!$D$99:$D$103</c:f>
              <c:numCache>
                <c:formatCode>General</c:formatCode>
                <c:ptCount val="5"/>
                <c:pt idx="0">
                  <c:v>2290437</c:v>
                </c:pt>
                <c:pt idx="1">
                  <c:v>2601464</c:v>
                </c:pt>
                <c:pt idx="2">
                  <c:v>2480278</c:v>
                </c:pt>
                <c:pt idx="3">
                  <c:v>2431773</c:v>
                </c:pt>
                <c:pt idx="4">
                  <c:v>2337293</c:v>
                </c:pt>
              </c:numCache>
            </c:numRef>
          </c:val>
        </c:ser>
        <c:dLbls>
          <c:showLegendKey val="0"/>
          <c:showVal val="0"/>
          <c:showCatName val="0"/>
          <c:showSerName val="0"/>
          <c:showPercent val="0"/>
          <c:showBubbleSize val="0"/>
        </c:dLbls>
        <c:gapWidth val="150"/>
        <c:axId val="57360768"/>
        <c:axId val="57362304"/>
      </c:barChart>
      <c:catAx>
        <c:axId val="57360768"/>
        <c:scaling>
          <c:orientation val="minMax"/>
        </c:scaling>
        <c:delete val="0"/>
        <c:axPos val="b"/>
        <c:numFmt formatCode="General" sourceLinked="1"/>
        <c:majorTickMark val="none"/>
        <c:minorTickMark val="none"/>
        <c:tickLblPos val="nextTo"/>
        <c:crossAx val="57362304"/>
        <c:crosses val="autoZero"/>
        <c:auto val="1"/>
        <c:lblAlgn val="ctr"/>
        <c:lblOffset val="100"/>
        <c:noMultiLvlLbl val="0"/>
      </c:catAx>
      <c:valAx>
        <c:axId val="57362304"/>
        <c:scaling>
          <c:orientation val="minMax"/>
        </c:scaling>
        <c:delete val="0"/>
        <c:axPos val="l"/>
        <c:majorGridlines/>
        <c:title>
          <c:tx>
            <c:rich>
              <a:bodyPr/>
              <a:lstStyle/>
              <a:p>
                <a:pPr>
                  <a:defRPr/>
                </a:pPr>
                <a:r>
                  <a:rPr lang="en-US"/>
                  <a:t>Dólares $</a:t>
                </a:r>
              </a:p>
            </c:rich>
          </c:tx>
          <c:layout/>
          <c:overlay val="0"/>
        </c:title>
        <c:numFmt formatCode="General" sourceLinked="1"/>
        <c:majorTickMark val="none"/>
        <c:minorTickMark val="none"/>
        <c:tickLblPos val="nextTo"/>
        <c:crossAx val="57360768"/>
        <c:crosses val="autoZero"/>
        <c:crossBetween val="between"/>
      </c:valAx>
      <c:dTable>
        <c:showHorzBorder val="1"/>
        <c:showVertBorder val="1"/>
        <c:showOutline val="1"/>
        <c:showKeys val="1"/>
      </c:dTable>
    </c:plotArea>
    <c:legend>
      <c:legendPos val="b"/>
      <c:layou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'Flujo y análisis sensibilidad '!$C$194</c:f>
              <c:strCache>
                <c:ptCount val="1"/>
                <c:pt idx="0">
                  <c:v>Dism.10%</c:v>
                </c:pt>
              </c:strCache>
            </c:strRef>
          </c:tx>
          <c:invertIfNegative val="0"/>
          <c:cat>
            <c:strRef>
              <c:f>'Flujo y análisis sensibilidad '!$B$195:$B$199</c:f>
              <c:strCache>
                <c:ptCount val="5"/>
                <c:pt idx="0">
                  <c:v>Aumento o Disminución de Inversión</c:v>
                </c:pt>
                <c:pt idx="1">
                  <c:v>Aumento o Disminución de Ingresos</c:v>
                </c:pt>
                <c:pt idx="2">
                  <c:v>Aumento o Disminución de Costos Variables</c:v>
                </c:pt>
                <c:pt idx="3">
                  <c:v>Aumento o Disminución de Costos Fijos</c:v>
                </c:pt>
                <c:pt idx="4">
                  <c:v>Aumento o Disminución de Tasas de Interés</c:v>
                </c:pt>
              </c:strCache>
            </c:strRef>
          </c:cat>
          <c:val>
            <c:numRef>
              <c:f>'Flujo y análisis sensibilidad '!$C$195:$C$199</c:f>
              <c:numCache>
                <c:formatCode>#,##0_);[Red]\(#,##0\)</c:formatCode>
                <c:ptCount val="5"/>
                <c:pt idx="0">
                  <c:v>537974.4574493292</c:v>
                </c:pt>
                <c:pt idx="1">
                  <c:v>269609.87330907362</c:v>
                </c:pt>
                <c:pt idx="2">
                  <c:v>508609</c:v>
                </c:pt>
                <c:pt idx="3">
                  <c:v>470775</c:v>
                </c:pt>
                <c:pt idx="4">
                  <c:v>481099</c:v>
                </c:pt>
              </c:numCache>
            </c:numRef>
          </c:val>
        </c:ser>
        <c:ser>
          <c:idx val="1"/>
          <c:order val="1"/>
          <c:tx>
            <c:strRef>
              <c:f>'Flujo y análisis sensibilidad '!$D$194</c:f>
              <c:strCache>
                <c:ptCount val="1"/>
                <c:pt idx="0">
                  <c:v>0%</c:v>
                </c:pt>
              </c:strCache>
            </c:strRef>
          </c:tx>
          <c:invertIfNegative val="0"/>
          <c:cat>
            <c:strRef>
              <c:f>'Flujo y análisis sensibilidad '!$B$195:$B$199</c:f>
              <c:strCache>
                <c:ptCount val="5"/>
                <c:pt idx="0">
                  <c:v>Aumento o Disminución de Inversión</c:v>
                </c:pt>
                <c:pt idx="1">
                  <c:v>Aumento o Disminución de Ingresos</c:v>
                </c:pt>
                <c:pt idx="2">
                  <c:v>Aumento o Disminución de Costos Variables</c:v>
                </c:pt>
                <c:pt idx="3">
                  <c:v>Aumento o Disminución de Costos Fijos</c:v>
                </c:pt>
                <c:pt idx="4">
                  <c:v>Aumento o Disminución de Tasas de Interés</c:v>
                </c:pt>
              </c:strCache>
            </c:strRef>
          </c:cat>
          <c:val>
            <c:numRef>
              <c:f>'Flujo y análisis sensibilidad '!$D$195:$D$199</c:f>
              <c:numCache>
                <c:formatCode>#,##0_);[Red]\(#,##0\)</c:formatCode>
                <c:ptCount val="5"/>
                <c:pt idx="0">
                  <c:v>457225.83330418763</c:v>
                </c:pt>
                <c:pt idx="1">
                  <c:v>457225.83330418763</c:v>
                </c:pt>
                <c:pt idx="2">
                  <c:v>457225.83330418763</c:v>
                </c:pt>
                <c:pt idx="3">
                  <c:v>457225.83330418763</c:v>
                </c:pt>
                <c:pt idx="4">
                  <c:v>457225.83330418763</c:v>
                </c:pt>
              </c:numCache>
            </c:numRef>
          </c:val>
        </c:ser>
        <c:ser>
          <c:idx val="2"/>
          <c:order val="2"/>
          <c:tx>
            <c:strRef>
              <c:f>'Flujo y análisis sensibilidad '!$E$194</c:f>
              <c:strCache>
                <c:ptCount val="1"/>
                <c:pt idx="0">
                  <c:v>Aum. 10%</c:v>
                </c:pt>
              </c:strCache>
            </c:strRef>
          </c:tx>
          <c:invertIfNegative val="0"/>
          <c:cat>
            <c:strRef>
              <c:f>'Flujo y análisis sensibilidad '!$B$195:$B$199</c:f>
              <c:strCache>
                <c:ptCount val="5"/>
                <c:pt idx="0">
                  <c:v>Aumento o Disminución de Inversión</c:v>
                </c:pt>
                <c:pt idx="1">
                  <c:v>Aumento o Disminución de Ingresos</c:v>
                </c:pt>
                <c:pt idx="2">
                  <c:v>Aumento o Disminución de Costos Variables</c:v>
                </c:pt>
                <c:pt idx="3">
                  <c:v>Aumento o Disminución de Costos Fijos</c:v>
                </c:pt>
                <c:pt idx="4">
                  <c:v>Aumento o Disminución de Tasas de Interés</c:v>
                </c:pt>
              </c:strCache>
            </c:strRef>
          </c:cat>
          <c:val>
            <c:numRef>
              <c:f>'Flujo y análisis sensibilidad '!$E$195:$E$199</c:f>
              <c:numCache>
                <c:formatCode>#,##0_);[Red]\(#,##0\)</c:formatCode>
                <c:ptCount val="5"/>
                <c:pt idx="0">
                  <c:v>383887.88585454022</c:v>
                </c:pt>
                <c:pt idx="1">
                  <c:v>644841.79329930153</c:v>
                </c:pt>
                <c:pt idx="2">
                  <c:v>405842</c:v>
                </c:pt>
                <c:pt idx="3">
                  <c:v>443677</c:v>
                </c:pt>
                <c:pt idx="4">
                  <c:v>434406</c:v>
                </c:pt>
              </c:numCache>
            </c:numRef>
          </c:val>
        </c:ser>
        <c:dLbls>
          <c:showLegendKey val="0"/>
          <c:showVal val="0"/>
          <c:showCatName val="0"/>
          <c:showSerName val="0"/>
          <c:showPercent val="0"/>
          <c:showBubbleSize val="0"/>
        </c:dLbls>
        <c:gapWidth val="150"/>
        <c:axId val="68425216"/>
        <c:axId val="68426752"/>
      </c:barChart>
      <c:catAx>
        <c:axId val="68425216"/>
        <c:scaling>
          <c:orientation val="minMax"/>
        </c:scaling>
        <c:delete val="0"/>
        <c:axPos val="b"/>
        <c:majorTickMark val="out"/>
        <c:minorTickMark val="none"/>
        <c:tickLblPos val="nextTo"/>
        <c:crossAx val="68426752"/>
        <c:crosses val="autoZero"/>
        <c:auto val="1"/>
        <c:lblAlgn val="ctr"/>
        <c:lblOffset val="100"/>
        <c:noMultiLvlLbl val="0"/>
      </c:catAx>
      <c:valAx>
        <c:axId val="68426752"/>
        <c:scaling>
          <c:orientation val="minMax"/>
        </c:scaling>
        <c:delete val="0"/>
        <c:axPos val="l"/>
        <c:majorGridlines/>
        <c:numFmt formatCode="#,##0_);[Red]\(#,##0\)" sourceLinked="1"/>
        <c:majorTickMark val="out"/>
        <c:minorTickMark val="none"/>
        <c:tickLblPos val="nextTo"/>
        <c:crossAx val="6842521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'Flujo y análisis sensibilidad '!$G$194</c:f>
              <c:strCache>
                <c:ptCount val="1"/>
                <c:pt idx="0">
                  <c:v>Desv.% (-)</c:v>
                </c:pt>
              </c:strCache>
            </c:strRef>
          </c:tx>
          <c:invertIfNegative val="0"/>
          <c:cat>
            <c:strRef>
              <c:f>'Flujo y análisis sensibilidad '!$F$195:$F$199</c:f>
              <c:strCache>
                <c:ptCount val="5"/>
                <c:pt idx="0">
                  <c:v>Inversión</c:v>
                </c:pt>
                <c:pt idx="1">
                  <c:v>Ingresos</c:v>
                </c:pt>
                <c:pt idx="2">
                  <c:v>Costos Variables</c:v>
                </c:pt>
                <c:pt idx="3">
                  <c:v>Costos Fijos</c:v>
                </c:pt>
                <c:pt idx="4">
                  <c:v>Tasa interés</c:v>
                </c:pt>
              </c:strCache>
            </c:strRef>
          </c:cat>
          <c:val>
            <c:numRef>
              <c:f>'Flujo y análisis sensibilidad '!$G$195:$G$199</c:f>
              <c:numCache>
                <c:formatCode>0.00%</c:formatCode>
                <c:ptCount val="5"/>
                <c:pt idx="0">
                  <c:v>0.17660555958005186</c:v>
                </c:pt>
                <c:pt idx="1">
                  <c:v>-0.41033543236017256</c:v>
                </c:pt>
                <c:pt idx="2">
                  <c:v>0.11238027896299481</c:v>
                </c:pt>
                <c:pt idx="3">
                  <c:v>2.9633423373955005E-2</c:v>
                </c:pt>
                <c:pt idx="4">
                  <c:v>5.2213074933431851E-2</c:v>
                </c:pt>
              </c:numCache>
            </c:numRef>
          </c:val>
        </c:ser>
        <c:ser>
          <c:idx val="1"/>
          <c:order val="1"/>
          <c:tx>
            <c:strRef>
              <c:f>'Flujo y análisis sensibilidad '!$H$194</c:f>
              <c:strCache>
                <c:ptCount val="1"/>
                <c:pt idx="0">
                  <c:v>Desv.% (+)</c:v>
                </c:pt>
              </c:strCache>
            </c:strRef>
          </c:tx>
          <c:invertIfNegative val="0"/>
          <c:cat>
            <c:strRef>
              <c:f>'Flujo y análisis sensibilidad '!$F$195:$F$199</c:f>
              <c:strCache>
                <c:ptCount val="5"/>
                <c:pt idx="0">
                  <c:v>Inversión</c:v>
                </c:pt>
                <c:pt idx="1">
                  <c:v>Ingresos</c:v>
                </c:pt>
                <c:pt idx="2">
                  <c:v>Costos Variables</c:v>
                </c:pt>
                <c:pt idx="3">
                  <c:v>Costos Fijos</c:v>
                </c:pt>
                <c:pt idx="4">
                  <c:v>Tasa interés</c:v>
                </c:pt>
              </c:strCache>
            </c:strRef>
          </c:cat>
          <c:val>
            <c:numRef>
              <c:f>'Flujo y análisis sensibilidad '!$H$195:$H$199</c:f>
              <c:numCache>
                <c:formatCode>0.00%</c:formatCode>
                <c:ptCount val="5"/>
                <c:pt idx="0">
                  <c:v>-0.16039764621273364</c:v>
                </c:pt>
                <c:pt idx="1">
                  <c:v>0.41033543236017228</c:v>
                </c:pt>
                <c:pt idx="2">
                  <c:v>-0.11238173690418428</c:v>
                </c:pt>
                <c:pt idx="3">
                  <c:v>-2.9632694212126314E-2</c:v>
                </c:pt>
                <c:pt idx="4">
                  <c:v>-4.9909326293481396E-2</c:v>
                </c:pt>
              </c:numCache>
            </c:numRef>
          </c:val>
        </c:ser>
        <c:ser>
          <c:idx val="2"/>
          <c:order val="2"/>
          <c:tx>
            <c:strRef>
              <c:f>'Flujo y análisis sensibilidad '!$I$194</c:f>
              <c:strCache>
                <c:ptCount val="1"/>
                <c:pt idx="0">
                  <c:v>Condición Sensibilidad</c:v>
                </c:pt>
              </c:strCache>
            </c:strRef>
          </c:tx>
          <c:invertIfNegative val="0"/>
          <c:cat>
            <c:strRef>
              <c:f>'Flujo y análisis sensibilidad '!$F$195:$F$199</c:f>
              <c:strCache>
                <c:ptCount val="5"/>
                <c:pt idx="0">
                  <c:v>Inversión</c:v>
                </c:pt>
                <c:pt idx="1">
                  <c:v>Ingresos</c:v>
                </c:pt>
                <c:pt idx="2">
                  <c:v>Costos Variables</c:v>
                </c:pt>
                <c:pt idx="3">
                  <c:v>Costos Fijos</c:v>
                </c:pt>
                <c:pt idx="4">
                  <c:v>Tasa interés</c:v>
                </c:pt>
              </c:strCache>
            </c:strRef>
          </c:cat>
          <c:val>
            <c:numRef>
              <c:f>'Flujo y análisis sensibilidad '!$I$195:$I$199</c:f>
              <c:numCache>
                <c:formatCode>General</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8444544"/>
        <c:axId val="68446080"/>
      </c:barChart>
      <c:catAx>
        <c:axId val="68444544"/>
        <c:scaling>
          <c:orientation val="minMax"/>
        </c:scaling>
        <c:delete val="0"/>
        <c:axPos val="b"/>
        <c:majorTickMark val="out"/>
        <c:minorTickMark val="none"/>
        <c:tickLblPos val="nextTo"/>
        <c:crossAx val="68446080"/>
        <c:crosses val="autoZero"/>
        <c:auto val="1"/>
        <c:lblAlgn val="ctr"/>
        <c:lblOffset val="100"/>
        <c:noMultiLvlLbl val="0"/>
      </c:catAx>
      <c:valAx>
        <c:axId val="68446080"/>
        <c:scaling>
          <c:orientation val="minMax"/>
        </c:scaling>
        <c:delete val="0"/>
        <c:axPos val="l"/>
        <c:majorGridlines/>
        <c:numFmt formatCode="0.00%" sourceLinked="1"/>
        <c:majorTickMark val="out"/>
        <c:minorTickMark val="none"/>
        <c:tickLblPos val="nextTo"/>
        <c:crossAx val="68444544"/>
        <c:crosses val="autoZero"/>
        <c:crossBetween val="between"/>
      </c:valAx>
    </c:plotArea>
    <c:legend>
      <c:legendPos val="r"/>
      <c:legendEntry>
        <c:idx val="2"/>
        <c:delete val="1"/>
      </c:legendEntry>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20</xdr:col>
      <xdr:colOff>103093</xdr:colOff>
      <xdr:row>200</xdr:row>
      <xdr:rowOff>148478</xdr:rowOff>
    </xdr:from>
    <xdr:to>
      <xdr:col>26</xdr:col>
      <xdr:colOff>670111</xdr:colOff>
      <xdr:row>211</xdr:row>
      <xdr:rowOff>64434</xdr:rowOff>
    </xdr:to>
    <xdr:graphicFrame macro="">
      <xdr:nvGraphicFramePr>
        <xdr:cNvPr id="14" name="2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519393</xdr:colOff>
      <xdr:row>181</xdr:row>
      <xdr:rowOff>79001</xdr:rowOff>
    </xdr:from>
    <xdr:to>
      <xdr:col>27</xdr:col>
      <xdr:colOff>305361</xdr:colOff>
      <xdr:row>198</xdr:row>
      <xdr:rowOff>145676</xdr:rowOff>
    </xdr:to>
    <xdr:graphicFrame macro="">
      <xdr:nvGraphicFramePr>
        <xdr:cNvPr id="15" name="2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117661</xdr:colOff>
      <xdr:row>178</xdr:row>
      <xdr:rowOff>11207</xdr:rowOff>
    </xdr:from>
    <xdr:to>
      <xdr:col>18</xdr:col>
      <xdr:colOff>56029</xdr:colOff>
      <xdr:row>197</xdr:row>
      <xdr:rowOff>21292</xdr:rowOff>
    </xdr:to>
    <xdr:graphicFrame macro="">
      <xdr:nvGraphicFramePr>
        <xdr:cNvPr id="19" name="1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106454</xdr:colOff>
      <xdr:row>198</xdr:row>
      <xdr:rowOff>11206</xdr:rowOff>
    </xdr:from>
    <xdr:to>
      <xdr:col>18</xdr:col>
      <xdr:colOff>11205</xdr:colOff>
      <xdr:row>211</xdr:row>
      <xdr:rowOff>156883</xdr:rowOff>
    </xdr:to>
    <xdr:graphicFrame macro="">
      <xdr:nvGraphicFramePr>
        <xdr:cNvPr id="20" name="1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lujo_de_Caja_&#250;ltima_vers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 "/>
      <sheetName val="Análisis Sensibilidad"/>
    </sheetNames>
    <sheetDataSet>
      <sheetData sheetId="0"/>
      <sheetData sheetId="1">
        <row r="99">
          <cell r="A99" t="str">
            <v>Aumento o Disminución de Inversión</v>
          </cell>
          <cell r="B99">
            <v>2559816</v>
          </cell>
          <cell r="C99">
            <v>2414402</v>
          </cell>
          <cell r="D99">
            <v>2290437</v>
          </cell>
          <cell r="E99" t="str">
            <v>Inversión</v>
          </cell>
          <cell r="F99">
            <v>6.022774997701294E-2</v>
          </cell>
          <cell r="G99">
            <v>-5.1343976686566692E-2</v>
          </cell>
        </row>
        <row r="100">
          <cell r="A100" t="str">
            <v>Aumento o Disminución de Ingresos</v>
          </cell>
          <cell r="B100">
            <v>2227339</v>
          </cell>
          <cell r="C100">
            <v>2414402</v>
          </cell>
          <cell r="D100">
            <v>2601464</v>
          </cell>
          <cell r="E100" t="str">
            <v>Ingresos</v>
          </cell>
          <cell r="F100">
            <v>-7.7477984196500829E-2</v>
          </cell>
          <cell r="G100">
            <v>7.7477570015266714E-2</v>
          </cell>
        </row>
        <row r="101">
          <cell r="A101" t="str">
            <v>Aumento o Disminución de Costos Variables</v>
          </cell>
          <cell r="B101">
            <v>2348525</v>
          </cell>
          <cell r="C101">
            <v>2414402</v>
          </cell>
          <cell r="D101">
            <v>2480278</v>
          </cell>
          <cell r="E101" t="str">
            <v>Costos Variables</v>
          </cell>
          <cell r="F101">
            <v>-2.7285017159528527E-2</v>
          </cell>
          <cell r="G101">
            <v>2.7284602978294419E-2</v>
          </cell>
        </row>
        <row r="102">
          <cell r="A102" t="str">
            <v>Aumento o Disminución de Costos Fijos</v>
          </cell>
          <cell r="B102">
            <v>2397031</v>
          </cell>
          <cell r="C102">
            <v>2414402</v>
          </cell>
          <cell r="D102">
            <v>2431773</v>
          </cell>
          <cell r="E102" t="str">
            <v>Costos Fijos</v>
          </cell>
          <cell r="F102">
            <v>-7.1947422177417019E-3</v>
          </cell>
          <cell r="G102">
            <v>7.1947422177417019E-3</v>
          </cell>
        </row>
        <row r="103">
          <cell r="A103" t="str">
            <v>Aumento o Disminución de Tasas de Interés</v>
          </cell>
          <cell r="B103">
            <v>2494711</v>
          </cell>
          <cell r="C103">
            <v>2414402</v>
          </cell>
          <cell r="D103">
            <v>2337293</v>
          </cell>
          <cell r="E103" t="str">
            <v>Tasa interés</v>
          </cell>
          <cell r="F103">
            <v>3.3262480730218084E-2</v>
          </cell>
          <cell r="G103">
            <v>-3.1937100781062974E-2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M103"/>
  <sheetViews>
    <sheetView zoomScale="85" zoomScaleNormal="85" workbookViewId="0">
      <selection activeCell="K92" sqref="K92"/>
    </sheetView>
  </sheetViews>
  <sheetFormatPr baseColWidth="10" defaultRowHeight="15" x14ac:dyDescent="0.25"/>
  <cols>
    <col min="1" max="1" width="44.28515625" customWidth="1"/>
    <col min="2" max="2" width="16" customWidth="1"/>
    <col min="3" max="3" width="12.42578125" customWidth="1"/>
    <col min="4" max="4" width="12.85546875" customWidth="1"/>
    <col min="5" max="5" width="18.5703125" customWidth="1"/>
    <col min="6" max="6" width="12.7109375" customWidth="1"/>
    <col min="7" max="7" width="12.28515625" customWidth="1"/>
    <col min="8" max="8" width="20" customWidth="1"/>
    <col min="9" max="9" width="12.85546875" customWidth="1"/>
    <col min="10" max="10" width="13.7109375" customWidth="1"/>
    <col min="11" max="11" width="12.42578125" customWidth="1"/>
  </cols>
  <sheetData>
    <row r="4" spans="1:13" ht="18.75" thickBot="1" x14ac:dyDescent="0.3">
      <c r="A4" s="3" t="s">
        <v>45</v>
      </c>
      <c r="B4" s="11"/>
      <c r="C4" s="11"/>
      <c r="D4" s="11"/>
      <c r="E4" s="11"/>
      <c r="F4" s="11"/>
      <c r="G4" s="11"/>
      <c r="H4" s="11"/>
      <c r="I4" s="11"/>
      <c r="J4" s="11"/>
      <c r="K4" s="11"/>
      <c r="L4" s="11"/>
      <c r="M4" s="12"/>
    </row>
    <row r="5" spans="1:13" x14ac:dyDescent="0.25">
      <c r="A5" s="75" t="s">
        <v>46</v>
      </c>
      <c r="B5" s="76">
        <f>(1+B72)*(470000)</f>
        <v>470000</v>
      </c>
      <c r="C5" s="11"/>
      <c r="D5" s="11"/>
      <c r="E5" s="11"/>
      <c r="F5" s="11"/>
      <c r="G5" s="11"/>
      <c r="H5" s="11"/>
      <c r="I5" s="11"/>
      <c r="J5" s="11"/>
      <c r="K5" s="11"/>
      <c r="L5" s="11"/>
      <c r="M5" s="12"/>
    </row>
    <row r="6" spans="1:13" x14ac:dyDescent="0.25">
      <c r="A6" s="77" t="s">
        <v>47</v>
      </c>
      <c r="B6" s="78">
        <v>330000</v>
      </c>
      <c r="C6" s="11"/>
      <c r="D6" s="11"/>
      <c r="E6" s="11"/>
      <c r="F6" s="11"/>
      <c r="G6" s="11"/>
      <c r="H6" s="11"/>
      <c r="I6" s="11"/>
      <c r="J6" s="11"/>
      <c r="K6" s="11"/>
      <c r="L6" s="11"/>
      <c r="M6" s="12"/>
    </row>
    <row r="7" spans="1:13" x14ac:dyDescent="0.25">
      <c r="A7" s="77" t="s">
        <v>48</v>
      </c>
      <c r="B7" s="79">
        <f>(1+B76)*11%</f>
        <v>0.11</v>
      </c>
      <c r="C7" s="11"/>
      <c r="D7" s="11"/>
      <c r="E7" s="11"/>
      <c r="F7" s="11"/>
      <c r="G7" s="11"/>
      <c r="H7" s="11"/>
      <c r="I7" s="11"/>
      <c r="J7" s="11"/>
      <c r="K7" s="11"/>
      <c r="L7" s="11"/>
      <c r="M7" s="12"/>
    </row>
    <row r="8" spans="1:13" x14ac:dyDescent="0.25">
      <c r="A8" s="77" t="s">
        <v>49</v>
      </c>
      <c r="B8" s="80">
        <v>10</v>
      </c>
      <c r="C8" s="11"/>
      <c r="D8" s="11"/>
      <c r="E8" s="11"/>
      <c r="F8" s="11"/>
      <c r="G8" s="11"/>
      <c r="H8" s="11"/>
      <c r="I8" s="11"/>
      <c r="J8" s="11"/>
      <c r="K8" s="11"/>
      <c r="L8" s="11"/>
      <c r="M8" s="12"/>
    </row>
    <row r="9" spans="1:13" ht="15.75" thickBot="1" x14ac:dyDescent="0.3">
      <c r="A9" s="81" t="s">
        <v>50</v>
      </c>
      <c r="B9" s="82">
        <f>PMT(B7,B8,B6)</f>
        <v>-56034.470942171807</v>
      </c>
      <c r="C9" s="11"/>
      <c r="D9" s="11"/>
      <c r="E9" s="11"/>
      <c r="F9" s="11"/>
      <c r="G9" s="11"/>
      <c r="H9" s="11"/>
      <c r="I9" s="11"/>
      <c r="J9" s="11"/>
      <c r="K9" s="11"/>
      <c r="L9" s="11"/>
      <c r="M9" s="12"/>
    </row>
    <row r="10" spans="1:13" x14ac:dyDescent="0.25">
      <c r="A10" s="12"/>
      <c r="B10" s="11"/>
      <c r="C10" s="11"/>
      <c r="D10" s="11"/>
      <c r="E10" s="11"/>
      <c r="F10" s="11"/>
      <c r="G10" s="11"/>
      <c r="H10" s="11"/>
      <c r="I10" s="11"/>
      <c r="J10" s="11"/>
      <c r="K10" s="11"/>
      <c r="L10" s="11"/>
      <c r="M10" s="12"/>
    </row>
    <row r="11" spans="1:13" ht="18.75" thickBot="1" x14ac:dyDescent="0.3">
      <c r="A11" s="3" t="s">
        <v>51</v>
      </c>
      <c r="B11" s="11"/>
      <c r="C11" s="11"/>
      <c r="D11" s="11"/>
      <c r="E11" s="11"/>
      <c r="F11" s="11"/>
      <c r="G11" s="11"/>
      <c r="H11" s="11"/>
      <c r="I11" s="11"/>
      <c r="J11" s="11"/>
      <c r="K11" s="11"/>
      <c r="L11" s="11"/>
      <c r="M11" s="12"/>
    </row>
    <row r="12" spans="1:13" ht="31.5" x14ac:dyDescent="0.25">
      <c r="A12" s="83" t="s">
        <v>12</v>
      </c>
      <c r="B12" s="84" t="s">
        <v>52</v>
      </c>
      <c r="C12" s="115" t="s">
        <v>53</v>
      </c>
      <c r="D12" s="115" t="s">
        <v>54</v>
      </c>
      <c r="E12" s="85" t="s">
        <v>55</v>
      </c>
      <c r="F12" s="11"/>
      <c r="G12" s="11"/>
      <c r="H12" s="11"/>
      <c r="I12" s="11"/>
      <c r="J12" s="11"/>
      <c r="K12" s="86"/>
      <c r="L12" s="11"/>
      <c r="M12" s="12"/>
    </row>
    <row r="13" spans="1:13" ht="15.75" x14ac:dyDescent="0.25">
      <c r="A13" s="87">
        <v>1</v>
      </c>
      <c r="B13" s="88">
        <v>330000</v>
      </c>
      <c r="C13" s="89">
        <f>-B$9</f>
        <v>56034.470942171807</v>
      </c>
      <c r="D13" s="90">
        <f>B13*B$7</f>
        <v>36300</v>
      </c>
      <c r="E13" s="91">
        <f>C13-D13</f>
        <v>19734.470942171807</v>
      </c>
      <c r="F13" s="11"/>
      <c r="G13" s="11"/>
      <c r="H13" s="11"/>
      <c r="I13" s="11"/>
      <c r="J13" s="11"/>
      <c r="K13" s="11"/>
      <c r="L13" s="11"/>
      <c r="M13" s="12"/>
    </row>
    <row r="14" spans="1:13" ht="15.75" x14ac:dyDescent="0.25">
      <c r="A14" s="87">
        <v>2</v>
      </c>
      <c r="B14" s="89">
        <f>B13-E13</f>
        <v>310265.52905782819</v>
      </c>
      <c r="C14" s="89">
        <f t="shared" ref="C14:C22" si="0">-B$9</f>
        <v>56034.470942171807</v>
      </c>
      <c r="D14" s="90">
        <f t="shared" ref="D14:D22" si="1">B14*B$7</f>
        <v>34129.208196361098</v>
      </c>
      <c r="E14" s="91">
        <f t="shared" ref="E14:E22" si="2">C14-D14</f>
        <v>21905.262745810709</v>
      </c>
      <c r="F14" s="11"/>
      <c r="G14" s="11"/>
      <c r="H14" s="11"/>
      <c r="I14" s="11"/>
      <c r="J14" s="11"/>
      <c r="K14" s="92"/>
      <c r="L14" s="11"/>
      <c r="M14" s="12"/>
    </row>
    <row r="15" spans="1:13" ht="15.75" x14ac:dyDescent="0.25">
      <c r="A15" s="87">
        <v>3</v>
      </c>
      <c r="B15" s="89">
        <f t="shared" ref="B15:B22" si="3">B14-E14</f>
        <v>288360.26631201745</v>
      </c>
      <c r="C15" s="89">
        <f t="shared" si="0"/>
        <v>56034.470942171807</v>
      </c>
      <c r="D15" s="90">
        <f t="shared" si="1"/>
        <v>31719.62929432192</v>
      </c>
      <c r="E15" s="91">
        <f t="shared" si="2"/>
        <v>24314.841647849888</v>
      </c>
      <c r="F15" s="11"/>
      <c r="G15" s="11"/>
      <c r="H15" s="11"/>
      <c r="I15" s="11"/>
      <c r="J15" s="11"/>
      <c r="K15" s="11"/>
      <c r="L15" s="11"/>
      <c r="M15" s="12"/>
    </row>
    <row r="16" spans="1:13" ht="15.75" x14ac:dyDescent="0.25">
      <c r="A16" s="87">
        <v>4</v>
      </c>
      <c r="B16" s="89">
        <f t="shared" si="3"/>
        <v>264045.42466416757</v>
      </c>
      <c r="C16" s="89">
        <f t="shared" si="0"/>
        <v>56034.470942171807</v>
      </c>
      <c r="D16" s="90">
        <f t="shared" si="1"/>
        <v>29044.996713058434</v>
      </c>
      <c r="E16" s="91">
        <f t="shared" si="2"/>
        <v>26989.474229113373</v>
      </c>
      <c r="F16" s="11"/>
      <c r="G16" s="11"/>
      <c r="H16" s="11"/>
      <c r="I16" s="11"/>
      <c r="J16" s="11"/>
      <c r="K16" s="11"/>
      <c r="L16" s="11"/>
      <c r="M16" s="12"/>
    </row>
    <row r="17" spans="1:13" ht="15.75" x14ac:dyDescent="0.25">
      <c r="A17" s="87">
        <v>5</v>
      </c>
      <c r="B17" s="89">
        <f t="shared" si="3"/>
        <v>237055.9504350542</v>
      </c>
      <c r="C17" s="89">
        <f t="shared" si="0"/>
        <v>56034.470942171807</v>
      </c>
      <c r="D17" s="90">
        <f t="shared" si="1"/>
        <v>26076.15454785596</v>
      </c>
      <c r="E17" s="91">
        <f t="shared" si="2"/>
        <v>29958.316394315847</v>
      </c>
      <c r="F17" s="11"/>
      <c r="G17" s="11"/>
      <c r="H17" s="11"/>
      <c r="I17" s="11"/>
      <c r="J17" s="11"/>
      <c r="K17" s="93"/>
      <c r="L17" s="11"/>
      <c r="M17" s="12"/>
    </row>
    <row r="18" spans="1:13" ht="15.75" x14ac:dyDescent="0.25">
      <c r="A18" s="87">
        <v>6</v>
      </c>
      <c r="B18" s="89">
        <f t="shared" si="3"/>
        <v>207097.63404073834</v>
      </c>
      <c r="C18" s="89">
        <f t="shared" si="0"/>
        <v>56034.470942171807</v>
      </c>
      <c r="D18" s="90">
        <f t="shared" si="1"/>
        <v>22780.739744481216</v>
      </c>
      <c r="E18" s="91">
        <f t="shared" si="2"/>
        <v>33253.731197690591</v>
      </c>
      <c r="F18" s="11"/>
      <c r="G18" s="11"/>
      <c r="H18" s="11"/>
      <c r="I18" s="11"/>
      <c r="J18" s="11"/>
      <c r="K18" s="94"/>
      <c r="L18" s="11"/>
      <c r="M18" s="12"/>
    </row>
    <row r="19" spans="1:13" ht="15.75" x14ac:dyDescent="0.25">
      <c r="A19" s="87">
        <v>7</v>
      </c>
      <c r="B19" s="89">
        <f t="shared" si="3"/>
        <v>173843.90284304775</v>
      </c>
      <c r="C19" s="89">
        <f t="shared" si="0"/>
        <v>56034.470942171807</v>
      </c>
      <c r="D19" s="90">
        <f t="shared" si="1"/>
        <v>19122.829312735252</v>
      </c>
      <c r="E19" s="91">
        <f t="shared" si="2"/>
        <v>36911.641629436555</v>
      </c>
    </row>
    <row r="20" spans="1:13" ht="15.75" x14ac:dyDescent="0.25">
      <c r="A20" s="87">
        <v>8</v>
      </c>
      <c r="B20" s="89">
        <f t="shared" si="3"/>
        <v>136932.2612136112</v>
      </c>
      <c r="C20" s="89">
        <f t="shared" si="0"/>
        <v>56034.470942171807</v>
      </c>
      <c r="D20" s="90">
        <f t="shared" si="1"/>
        <v>15062.548733497231</v>
      </c>
      <c r="E20" s="91">
        <f t="shared" si="2"/>
        <v>40971.922208674572</v>
      </c>
    </row>
    <row r="21" spans="1:13" ht="15.75" x14ac:dyDescent="0.25">
      <c r="A21" s="87">
        <v>9</v>
      </c>
      <c r="B21" s="89">
        <f t="shared" si="3"/>
        <v>95960.339004936628</v>
      </c>
      <c r="C21" s="89">
        <f t="shared" si="0"/>
        <v>56034.470942171807</v>
      </c>
      <c r="D21" s="90">
        <f t="shared" si="1"/>
        <v>10555.637290543029</v>
      </c>
      <c r="E21" s="91">
        <f t="shared" si="2"/>
        <v>45478.833651628782</v>
      </c>
    </row>
    <row r="22" spans="1:13" ht="15.75" x14ac:dyDescent="0.25">
      <c r="A22" s="87">
        <v>10</v>
      </c>
      <c r="B22" s="89">
        <f t="shared" si="3"/>
        <v>50481.505353307846</v>
      </c>
      <c r="C22" s="89">
        <f t="shared" si="0"/>
        <v>56034.470942171807</v>
      </c>
      <c r="D22" s="90">
        <f t="shared" si="1"/>
        <v>5552.9655888638636</v>
      </c>
      <c r="E22" s="91">
        <f t="shared" si="2"/>
        <v>50481.505353307941</v>
      </c>
    </row>
    <row r="23" spans="1:13" x14ac:dyDescent="0.25">
      <c r="A23" s="95"/>
    </row>
    <row r="26" spans="1:13" ht="21.75" thickBot="1" x14ac:dyDescent="0.4">
      <c r="A26" s="96" t="s">
        <v>56</v>
      </c>
    </row>
    <row r="27" spans="1:13" x14ac:dyDescent="0.25">
      <c r="A27" s="44" t="s">
        <v>23</v>
      </c>
      <c r="B27" s="45">
        <v>1</v>
      </c>
      <c r="C27" s="45">
        <v>2</v>
      </c>
      <c r="D27" s="45">
        <v>3</v>
      </c>
      <c r="E27" s="45">
        <v>4</v>
      </c>
      <c r="F27" s="45">
        <v>5</v>
      </c>
      <c r="G27" s="45">
        <v>6</v>
      </c>
      <c r="H27" s="45">
        <v>7</v>
      </c>
      <c r="I27" s="45">
        <v>8</v>
      </c>
      <c r="J27" s="45">
        <v>9</v>
      </c>
      <c r="K27" s="46">
        <v>10</v>
      </c>
      <c r="L27" s="26"/>
      <c r="M27" s="12"/>
    </row>
    <row r="28" spans="1:13" x14ac:dyDescent="0.25">
      <c r="A28" s="23" t="s">
        <v>24</v>
      </c>
      <c r="B28" s="33">
        <v>240000</v>
      </c>
      <c r="C28" s="33">
        <v>320000</v>
      </c>
      <c r="D28" s="33">
        <v>400000</v>
      </c>
      <c r="E28" s="33">
        <v>400000</v>
      </c>
      <c r="F28" s="33">
        <v>400000</v>
      </c>
      <c r="G28" s="33">
        <v>400000</v>
      </c>
      <c r="H28" s="33">
        <v>400000</v>
      </c>
      <c r="I28" s="33">
        <v>400000</v>
      </c>
      <c r="J28" s="33">
        <v>400000</v>
      </c>
      <c r="K28" s="33">
        <v>400000</v>
      </c>
      <c r="L28" s="37"/>
      <c r="M28" s="12"/>
    </row>
    <row r="29" spans="1:13" x14ac:dyDescent="0.25">
      <c r="A29" s="23" t="s">
        <v>25</v>
      </c>
      <c r="B29" s="33">
        <v>26400</v>
      </c>
      <c r="C29" s="33">
        <v>95582.431381625312</v>
      </c>
      <c r="D29" s="33">
        <v>119478.03922703164</v>
      </c>
      <c r="E29" s="33">
        <v>119478.03922703164</v>
      </c>
      <c r="F29" s="33">
        <v>119478.03922703164</v>
      </c>
      <c r="G29" s="33">
        <v>119478.03922703164</v>
      </c>
      <c r="H29" s="33">
        <v>119478.03922703164</v>
      </c>
      <c r="I29" s="33">
        <v>119478.03922703164</v>
      </c>
      <c r="J29" s="33">
        <v>119478.03922703164</v>
      </c>
      <c r="K29" s="33">
        <v>119478.03922703164</v>
      </c>
      <c r="L29" s="37"/>
      <c r="M29" s="12"/>
    </row>
    <row r="30" spans="1:13" x14ac:dyDescent="0.25">
      <c r="A30" s="23" t="s">
        <v>26</v>
      </c>
      <c r="B30" s="33">
        <v>11000</v>
      </c>
      <c r="C30" s="33">
        <v>13200</v>
      </c>
      <c r="D30" s="33">
        <v>15400</v>
      </c>
      <c r="E30" s="33">
        <v>15400</v>
      </c>
      <c r="F30" s="33">
        <v>15400</v>
      </c>
      <c r="G30" s="33">
        <v>15400</v>
      </c>
      <c r="H30" s="33">
        <v>15400</v>
      </c>
      <c r="I30" s="33">
        <v>15400</v>
      </c>
      <c r="J30" s="33">
        <v>15400</v>
      </c>
      <c r="K30" s="33">
        <v>15400</v>
      </c>
      <c r="L30" s="37"/>
      <c r="M30" s="12"/>
    </row>
    <row r="31" spans="1:13" x14ac:dyDescent="0.25">
      <c r="A31" s="23" t="s">
        <v>27</v>
      </c>
      <c r="B31" s="33">
        <v>4800</v>
      </c>
      <c r="C31" s="33">
        <v>6400</v>
      </c>
      <c r="D31" s="33">
        <v>8000</v>
      </c>
      <c r="E31" s="33">
        <v>8000</v>
      </c>
      <c r="F31" s="33">
        <v>8000</v>
      </c>
      <c r="G31" s="33">
        <v>8000</v>
      </c>
      <c r="H31" s="33">
        <v>8000</v>
      </c>
      <c r="I31" s="33">
        <v>8000</v>
      </c>
      <c r="J31" s="33">
        <v>8000</v>
      </c>
      <c r="K31" s="33">
        <v>8000</v>
      </c>
      <c r="L31" s="37"/>
      <c r="M31" s="12"/>
    </row>
    <row r="32" spans="1:13" x14ac:dyDescent="0.25">
      <c r="A32" s="47" t="s">
        <v>28</v>
      </c>
      <c r="B32" s="48">
        <f>(1+B73)*(+B28-(B29-B30+B31))</f>
        <v>219800</v>
      </c>
      <c r="C32" s="48">
        <f t="shared" ref="C32:K32" si="4">(1+C73)*(+C28-(C29-C30+C31))</f>
        <v>231217.5686183747</v>
      </c>
      <c r="D32" s="48">
        <f t="shared" si="4"/>
        <v>287921.96077296836</v>
      </c>
      <c r="E32" s="48">
        <f t="shared" si="4"/>
        <v>287921.96077296836</v>
      </c>
      <c r="F32" s="48">
        <f t="shared" si="4"/>
        <v>287921.96077296836</v>
      </c>
      <c r="G32" s="48">
        <f t="shared" si="4"/>
        <v>287921.96077296836</v>
      </c>
      <c r="H32" s="48">
        <f t="shared" si="4"/>
        <v>287921.96077296836</v>
      </c>
      <c r="I32" s="48">
        <f t="shared" si="4"/>
        <v>287921.96077296836</v>
      </c>
      <c r="J32" s="48">
        <f t="shared" si="4"/>
        <v>287921.96077296836</v>
      </c>
      <c r="K32" s="48">
        <f t="shared" si="4"/>
        <v>287921.96077296836</v>
      </c>
      <c r="L32" s="49"/>
      <c r="M32" s="50"/>
    </row>
    <row r="33" spans="1:13" x14ac:dyDescent="0.25">
      <c r="A33" s="47" t="s">
        <v>29</v>
      </c>
      <c r="B33" s="48">
        <f>B34+B35</f>
        <v>100000</v>
      </c>
      <c r="C33" s="48">
        <f t="shared" ref="C33:K33" si="5">C34+C35</f>
        <v>120000</v>
      </c>
      <c r="D33" s="48">
        <f t="shared" si="5"/>
        <v>140000</v>
      </c>
      <c r="E33" s="48">
        <f t="shared" si="5"/>
        <v>140000</v>
      </c>
      <c r="F33" s="48">
        <f t="shared" si="5"/>
        <v>140000</v>
      </c>
      <c r="G33" s="48">
        <f t="shared" si="5"/>
        <v>140000</v>
      </c>
      <c r="H33" s="48">
        <f t="shared" si="5"/>
        <v>140000</v>
      </c>
      <c r="I33" s="48">
        <f t="shared" si="5"/>
        <v>140000</v>
      </c>
      <c r="J33" s="48">
        <f t="shared" si="5"/>
        <v>140000</v>
      </c>
      <c r="K33" s="48">
        <f t="shared" si="5"/>
        <v>140000</v>
      </c>
      <c r="L33" s="49"/>
      <c r="M33" s="12"/>
    </row>
    <row r="34" spans="1:13" x14ac:dyDescent="0.25">
      <c r="A34" s="23" t="s">
        <v>30</v>
      </c>
      <c r="B34" s="33">
        <f>(1+B74)*60000</f>
        <v>60000</v>
      </c>
      <c r="C34" s="33">
        <f>(1+B74)*80000</f>
        <v>80000</v>
      </c>
      <c r="D34" s="33">
        <f>(1+B74)*100000</f>
        <v>100000</v>
      </c>
      <c r="E34" s="33">
        <f t="shared" ref="E34:K34" si="6">(1+C74)*100000</f>
        <v>100000</v>
      </c>
      <c r="F34" s="33">
        <f t="shared" si="6"/>
        <v>100000</v>
      </c>
      <c r="G34" s="33">
        <f t="shared" si="6"/>
        <v>100000</v>
      </c>
      <c r="H34" s="33">
        <f t="shared" si="6"/>
        <v>100000</v>
      </c>
      <c r="I34" s="33">
        <f t="shared" si="6"/>
        <v>100000</v>
      </c>
      <c r="J34" s="33">
        <f t="shared" si="6"/>
        <v>100000</v>
      </c>
      <c r="K34" s="33">
        <f t="shared" si="6"/>
        <v>100000</v>
      </c>
      <c r="L34" s="37"/>
      <c r="M34" s="12"/>
    </row>
    <row r="35" spans="1:13" x14ac:dyDescent="0.25">
      <c r="A35" s="23" t="s">
        <v>31</v>
      </c>
      <c r="B35" s="33">
        <f>(1+B75)*40000</f>
        <v>40000</v>
      </c>
      <c r="C35" s="33">
        <f t="shared" ref="C35:K35" si="7">(1+C75)*40000</f>
        <v>40000</v>
      </c>
      <c r="D35" s="33">
        <f t="shared" si="7"/>
        <v>40000</v>
      </c>
      <c r="E35" s="33">
        <f t="shared" si="7"/>
        <v>40000</v>
      </c>
      <c r="F35" s="33">
        <f t="shared" si="7"/>
        <v>40000</v>
      </c>
      <c r="G35" s="33">
        <f t="shared" si="7"/>
        <v>40000</v>
      </c>
      <c r="H35" s="33">
        <f t="shared" si="7"/>
        <v>40000</v>
      </c>
      <c r="I35" s="33">
        <f t="shared" si="7"/>
        <v>40000</v>
      </c>
      <c r="J35" s="33">
        <f t="shared" si="7"/>
        <v>40000</v>
      </c>
      <c r="K35" s="33">
        <f t="shared" si="7"/>
        <v>40000</v>
      </c>
      <c r="L35" s="37"/>
      <c r="M35" s="12"/>
    </row>
    <row r="36" spans="1:13" x14ac:dyDescent="0.25">
      <c r="A36" s="47" t="s">
        <v>32</v>
      </c>
      <c r="B36" s="48">
        <f>B37+B38</f>
        <v>83790</v>
      </c>
      <c r="C36" s="48">
        <f t="shared" ref="C36:K36" si="8">C37+C38</f>
        <v>81625.786353341828</v>
      </c>
      <c r="D36" s="48">
        <f t="shared" si="8"/>
        <v>79223.509205551236</v>
      </c>
      <c r="E36" s="48">
        <f t="shared" si="8"/>
        <v>76556.981571503711</v>
      </c>
      <c r="F36" s="48">
        <f t="shared" si="8"/>
        <v>73597.135897710948</v>
      </c>
      <c r="G36" s="48">
        <f t="shared" si="8"/>
        <v>70311.707199800963</v>
      </c>
      <c r="H36" s="48">
        <f t="shared" si="8"/>
        <v>66664.881345120899</v>
      </c>
      <c r="I36" s="48">
        <f t="shared" si="8"/>
        <v>62616.904646426025</v>
      </c>
      <c r="J36" s="48">
        <f t="shared" si="8"/>
        <v>58123.650510874715</v>
      </c>
      <c r="K36" s="48">
        <f t="shared" si="8"/>
        <v>53136.138420412761</v>
      </c>
      <c r="L36" s="49"/>
      <c r="M36" s="12"/>
    </row>
    <row r="37" spans="1:13" x14ac:dyDescent="0.25">
      <c r="A37" s="23" t="s">
        <v>33</v>
      </c>
      <c r="B37" s="33">
        <v>47600</v>
      </c>
      <c r="C37" s="33">
        <v>47600</v>
      </c>
      <c r="D37" s="33">
        <v>47600</v>
      </c>
      <c r="E37" s="33">
        <v>47600</v>
      </c>
      <c r="F37" s="33">
        <v>47600</v>
      </c>
      <c r="G37" s="33">
        <v>47600</v>
      </c>
      <c r="H37" s="33">
        <v>47600</v>
      </c>
      <c r="I37" s="33">
        <v>47600</v>
      </c>
      <c r="J37" s="33">
        <v>47600</v>
      </c>
      <c r="K37" s="33">
        <v>47600</v>
      </c>
      <c r="L37" s="37"/>
      <c r="M37" s="12"/>
    </row>
    <row r="38" spans="1:13" x14ac:dyDescent="0.25">
      <c r="A38" s="23" t="s">
        <v>57</v>
      </c>
      <c r="B38" s="33">
        <f>'Flujo y análisis sensibilidad '!C145</f>
        <v>36190</v>
      </c>
      <c r="C38" s="33">
        <f>'Flujo y análisis sensibilidad '!D145</f>
        <v>34025.78635334182</v>
      </c>
      <c r="D38" s="33">
        <f>'Flujo y análisis sensibilidad '!E145</f>
        <v>31623.509205551243</v>
      </c>
      <c r="E38" s="33">
        <f>'Flujo y análisis sensibilidad '!F145</f>
        <v>28956.981571503708</v>
      </c>
      <c r="F38" s="33">
        <f>'Flujo y análisis sensibilidad '!G145</f>
        <v>25997.135897710941</v>
      </c>
      <c r="G38" s="33">
        <f>'Flujo y análisis sensibilidad '!H145</f>
        <v>22711.707199800971</v>
      </c>
      <c r="H38" s="33">
        <f>'Flujo y análisis sensibilidad '!I145</f>
        <v>19064.881345120903</v>
      </c>
      <c r="I38" s="33">
        <f>'Flujo y análisis sensibilidad '!J145</f>
        <v>15016.904646426026</v>
      </c>
      <c r="J38" s="33">
        <f>'Flujo y análisis sensibilidad '!K145</f>
        <v>10523.650510874715</v>
      </c>
      <c r="K38" s="33">
        <f>'Flujo y análisis sensibilidad '!L145</f>
        <v>5536.1384204127589</v>
      </c>
      <c r="L38" s="37"/>
      <c r="M38" s="12"/>
    </row>
    <row r="39" spans="1:13" x14ac:dyDescent="0.25">
      <c r="A39" s="47" t="s">
        <v>34</v>
      </c>
      <c r="B39" s="48">
        <f>B32-B33-B36</f>
        <v>36010</v>
      </c>
      <c r="C39" s="48">
        <f>'Flujo y análisis sensibilidad '!D146</f>
        <v>87174.213646658172</v>
      </c>
      <c r="D39" s="48">
        <f>'Flujo y análisis sensibilidad '!E146</f>
        <v>135776.49079444876</v>
      </c>
      <c r="E39" s="48">
        <f>'Flujo y análisis sensibilidad '!F146</f>
        <v>138443.01842849629</v>
      </c>
      <c r="F39" s="48">
        <f>'Flujo y análisis sensibilidad '!G146</f>
        <v>141402.86410228905</v>
      </c>
      <c r="G39" s="48">
        <f>'Flujo y análisis sensibilidad '!H146</f>
        <v>144688.29280019904</v>
      </c>
      <c r="H39" s="48">
        <f>'Flujo y análisis sensibilidad '!I146</f>
        <v>148335.1186548791</v>
      </c>
      <c r="I39" s="48">
        <f>'Flujo y análisis sensibilidad '!J146</f>
        <v>152383.09535357397</v>
      </c>
      <c r="J39" s="48">
        <f>'Flujo y análisis sensibilidad '!K146</f>
        <v>156876.34948912528</v>
      </c>
      <c r="K39" s="48">
        <f>'Flujo y análisis sensibilidad '!L146</f>
        <v>161863.86157958725</v>
      </c>
      <c r="L39" s="37"/>
      <c r="M39" s="12"/>
    </row>
    <row r="40" spans="1:13" x14ac:dyDescent="0.25">
      <c r="A40" s="23" t="s">
        <v>35</v>
      </c>
      <c r="B40" s="33">
        <f>0.22*B39</f>
        <v>7922.2</v>
      </c>
      <c r="C40" s="33">
        <f>'Flujo y análisis sensibilidad '!D147</f>
        <v>19178.327002264799</v>
      </c>
      <c r="D40" s="33">
        <f>'Flujo y análisis sensibilidad '!E147</f>
        <v>29870.827974778727</v>
      </c>
      <c r="E40" s="33">
        <f>'Flujo y análisis sensibilidad '!F147</f>
        <v>30457.464054269185</v>
      </c>
      <c r="F40" s="33">
        <f>'Flujo y análisis sensibilidad '!G147</f>
        <v>31108.63010250359</v>
      </c>
      <c r="G40" s="33">
        <f>'Flujo y análisis sensibilidad '!H147</f>
        <v>31831.424416043788</v>
      </c>
      <c r="H40" s="33">
        <f>'Flujo y análisis sensibilidad '!I147</f>
        <v>32633.726104073401</v>
      </c>
      <c r="I40" s="33">
        <f>'Flujo y análisis sensibilidad '!J147</f>
        <v>33524.280977786271</v>
      </c>
      <c r="J40" s="33">
        <f>'Flujo y análisis sensibilidad '!K147</f>
        <v>34512.796887607561</v>
      </c>
      <c r="K40" s="33">
        <f>'Flujo y análisis sensibilidad '!L147</f>
        <v>35610.049547509196</v>
      </c>
      <c r="L40" s="49"/>
      <c r="M40" s="12"/>
    </row>
    <row r="41" spans="1:13" ht="15.75" thickBot="1" x14ac:dyDescent="0.3">
      <c r="A41" s="52" t="s">
        <v>36</v>
      </c>
      <c r="B41" s="48">
        <f>B39-B40</f>
        <v>28087.8</v>
      </c>
      <c r="C41" s="48" t="e">
        <f>'Flujo y análisis sensibilidad '!#REF!</f>
        <v>#REF!</v>
      </c>
      <c r="D41" s="48" t="e">
        <f>'Flujo y análisis sensibilidad '!#REF!</f>
        <v>#REF!</v>
      </c>
      <c r="E41" s="48" t="e">
        <f>'Flujo y análisis sensibilidad '!#REF!</f>
        <v>#REF!</v>
      </c>
      <c r="F41" s="48" t="e">
        <f>'Flujo y análisis sensibilidad '!#REF!</f>
        <v>#REF!</v>
      </c>
      <c r="G41" s="48" t="e">
        <f>'Flujo y análisis sensibilidad '!#REF!</f>
        <v>#REF!</v>
      </c>
      <c r="H41" s="48" t="e">
        <f>'Flujo y análisis sensibilidad '!#REF!</f>
        <v>#REF!</v>
      </c>
      <c r="I41" s="48" t="e">
        <f>'Flujo y análisis sensibilidad '!#REF!</f>
        <v>#REF!</v>
      </c>
      <c r="J41" s="48" t="e">
        <f>'Flujo y análisis sensibilidad '!#REF!</f>
        <v>#REF!</v>
      </c>
      <c r="K41" s="48" t="e">
        <f>'Flujo y análisis sensibilidad '!#REF!</f>
        <v>#REF!</v>
      </c>
      <c r="L41" s="11"/>
      <c r="M41" s="12"/>
    </row>
    <row r="42" spans="1:13" x14ac:dyDescent="0.25">
      <c r="A42" s="12"/>
      <c r="B42" s="11"/>
      <c r="C42" s="11"/>
      <c r="D42" s="11"/>
      <c r="E42" s="11"/>
      <c r="F42" s="11"/>
      <c r="G42" s="11"/>
      <c r="H42" s="11"/>
      <c r="I42" s="11"/>
      <c r="J42" s="11"/>
      <c r="K42" s="11"/>
      <c r="L42" s="11"/>
      <c r="M42" s="12"/>
    </row>
    <row r="43" spans="1:13" ht="18.75" thickBot="1" x14ac:dyDescent="0.3">
      <c r="A43" s="54" t="s">
        <v>58</v>
      </c>
    </row>
    <row r="44" spans="1:13" x14ac:dyDescent="0.25">
      <c r="A44" s="55" t="s">
        <v>12</v>
      </c>
      <c r="B44" s="56">
        <v>0</v>
      </c>
      <c r="C44" s="56">
        <v>1</v>
      </c>
      <c r="D44" s="56">
        <v>2</v>
      </c>
      <c r="E44" s="56">
        <v>3</v>
      </c>
      <c r="F44" s="56">
        <v>4</v>
      </c>
      <c r="G44" s="56">
        <v>5</v>
      </c>
      <c r="H44" s="56">
        <v>6</v>
      </c>
      <c r="I44" s="56">
        <v>7</v>
      </c>
      <c r="J44" s="56">
        <v>8</v>
      </c>
      <c r="K44" s="56">
        <v>9</v>
      </c>
      <c r="L44" s="57">
        <v>10</v>
      </c>
      <c r="M44" s="58"/>
    </row>
    <row r="45" spans="1:13" x14ac:dyDescent="0.25">
      <c r="A45" s="59" t="s">
        <v>37</v>
      </c>
      <c r="B45" s="60">
        <f>(1+B72)*(-B5)</f>
        <v>-470000</v>
      </c>
      <c r="C45" s="60">
        <f>'Flujo y análisis sensibilidad '!D151</f>
        <v>0</v>
      </c>
      <c r="D45" s="60"/>
      <c r="E45" s="60"/>
      <c r="F45" s="60"/>
      <c r="G45" s="60"/>
      <c r="H45" s="60"/>
      <c r="I45" s="60"/>
      <c r="J45" s="60"/>
      <c r="K45" s="60"/>
      <c r="L45" s="60"/>
      <c r="M45" s="63"/>
    </row>
    <row r="46" spans="1:13" x14ac:dyDescent="0.25">
      <c r="A46" s="59" t="s">
        <v>38</v>
      </c>
      <c r="B46" s="60">
        <f>'Flujo y análisis sensibilidad '!C153</f>
        <v>0</v>
      </c>
      <c r="C46" s="60">
        <f>B32</f>
        <v>219800</v>
      </c>
      <c r="D46" s="60">
        <f t="shared" ref="D46:L47" si="9">C32</f>
        <v>231217.5686183747</v>
      </c>
      <c r="E46" s="60">
        <f t="shared" si="9"/>
        <v>287921.96077296836</v>
      </c>
      <c r="F46" s="60">
        <f t="shared" si="9"/>
        <v>287921.96077296836</v>
      </c>
      <c r="G46" s="60">
        <f t="shared" si="9"/>
        <v>287921.96077296836</v>
      </c>
      <c r="H46" s="60">
        <f t="shared" si="9"/>
        <v>287921.96077296836</v>
      </c>
      <c r="I46" s="60">
        <f t="shared" si="9"/>
        <v>287921.96077296836</v>
      </c>
      <c r="J46" s="60">
        <f t="shared" si="9"/>
        <v>287921.96077296836</v>
      </c>
      <c r="K46" s="60">
        <f t="shared" si="9"/>
        <v>287921.96077296836</v>
      </c>
      <c r="L46" s="60">
        <f t="shared" si="9"/>
        <v>287921.96077296836</v>
      </c>
      <c r="M46" s="64"/>
    </row>
    <row r="47" spans="1:13" x14ac:dyDescent="0.25">
      <c r="A47" s="59" t="s">
        <v>39</v>
      </c>
      <c r="B47" s="60">
        <f>'Flujo y análisis sensibilidad '!C154</f>
        <v>0</v>
      </c>
      <c r="C47" s="60">
        <f>B33</f>
        <v>100000</v>
      </c>
      <c r="D47" s="60">
        <f t="shared" si="9"/>
        <v>120000</v>
      </c>
      <c r="E47" s="60">
        <f t="shared" si="9"/>
        <v>140000</v>
      </c>
      <c r="F47" s="60">
        <f t="shared" si="9"/>
        <v>140000</v>
      </c>
      <c r="G47" s="60">
        <f t="shared" si="9"/>
        <v>140000</v>
      </c>
      <c r="H47" s="60">
        <f t="shared" si="9"/>
        <v>140000</v>
      </c>
      <c r="I47" s="60">
        <f t="shared" si="9"/>
        <v>140000</v>
      </c>
      <c r="J47" s="60">
        <f t="shared" si="9"/>
        <v>140000</v>
      </c>
      <c r="K47" s="60">
        <f t="shared" si="9"/>
        <v>140000</v>
      </c>
      <c r="L47" s="60">
        <f t="shared" si="9"/>
        <v>140000</v>
      </c>
      <c r="M47" s="64"/>
    </row>
    <row r="48" spans="1:13" x14ac:dyDescent="0.25">
      <c r="A48" s="59" t="s">
        <v>57</v>
      </c>
      <c r="B48" s="60" t="e">
        <f>'Flujo y análisis sensibilidad '!#REF!</f>
        <v>#REF!</v>
      </c>
      <c r="C48" s="60">
        <f>B38</f>
        <v>36190</v>
      </c>
      <c r="D48" s="60">
        <f t="shared" ref="D48:L48" si="10">C38</f>
        <v>34025.78635334182</v>
      </c>
      <c r="E48" s="60">
        <f t="shared" si="10"/>
        <v>31623.509205551243</v>
      </c>
      <c r="F48" s="60">
        <f t="shared" si="10"/>
        <v>28956.981571503708</v>
      </c>
      <c r="G48" s="60">
        <f t="shared" si="10"/>
        <v>25997.135897710941</v>
      </c>
      <c r="H48" s="60">
        <f t="shared" si="10"/>
        <v>22711.707199800971</v>
      </c>
      <c r="I48" s="60">
        <f t="shared" si="10"/>
        <v>19064.881345120903</v>
      </c>
      <c r="J48" s="60">
        <f t="shared" si="10"/>
        <v>15016.904646426026</v>
      </c>
      <c r="K48" s="60">
        <f t="shared" si="10"/>
        <v>10523.650510874715</v>
      </c>
      <c r="L48" s="60">
        <f t="shared" si="10"/>
        <v>5536.1384204127589</v>
      </c>
      <c r="M48" s="64"/>
    </row>
    <row r="49" spans="1:13" x14ac:dyDescent="0.25">
      <c r="A49" s="59" t="s">
        <v>40</v>
      </c>
      <c r="B49" s="60">
        <f>'Flujo y análisis sensibilidad '!C155</f>
        <v>0</v>
      </c>
      <c r="C49" s="60">
        <f>B40</f>
        <v>7922.2</v>
      </c>
      <c r="D49" s="60">
        <f t="shared" ref="D49:L49" si="11">C40</f>
        <v>19178.327002264799</v>
      </c>
      <c r="E49" s="60">
        <f t="shared" si="11"/>
        <v>29870.827974778727</v>
      </c>
      <c r="F49" s="60">
        <f t="shared" si="11"/>
        <v>30457.464054269185</v>
      </c>
      <c r="G49" s="60">
        <f t="shared" si="11"/>
        <v>31108.63010250359</v>
      </c>
      <c r="H49" s="60">
        <f t="shared" si="11"/>
        <v>31831.424416043788</v>
      </c>
      <c r="I49" s="60">
        <f t="shared" si="11"/>
        <v>32633.726104073401</v>
      </c>
      <c r="J49" s="60">
        <f t="shared" si="11"/>
        <v>33524.280977786271</v>
      </c>
      <c r="K49" s="60">
        <f t="shared" si="11"/>
        <v>34512.796887607561</v>
      </c>
      <c r="L49" s="60">
        <f t="shared" si="11"/>
        <v>35610.049547509196</v>
      </c>
      <c r="M49" s="64"/>
    </row>
    <row r="50" spans="1:13" x14ac:dyDescent="0.25">
      <c r="A50" s="59" t="s">
        <v>41</v>
      </c>
      <c r="B50" s="60"/>
      <c r="C50" s="60"/>
      <c r="D50" s="60"/>
      <c r="E50" s="60"/>
      <c r="F50" s="60"/>
      <c r="G50" s="60"/>
      <c r="H50" s="60"/>
      <c r="I50" s="60"/>
      <c r="J50" s="60"/>
      <c r="K50" s="60"/>
      <c r="L50" s="60">
        <f>'Flujo y análisis sensibilidad '!M156</f>
        <v>157000</v>
      </c>
      <c r="M50" s="65"/>
    </row>
    <row r="51" spans="1:13" x14ac:dyDescent="0.25">
      <c r="A51" s="97" t="s">
        <v>59</v>
      </c>
      <c r="B51" s="60">
        <f>B6</f>
        <v>330000</v>
      </c>
      <c r="C51" s="60"/>
      <c r="D51" s="60"/>
      <c r="E51" s="60"/>
      <c r="F51" s="60"/>
      <c r="G51" s="60"/>
      <c r="H51" s="60"/>
      <c r="I51" s="60"/>
      <c r="J51" s="60"/>
      <c r="K51" s="60"/>
      <c r="L51" s="60"/>
      <c r="M51" s="98"/>
    </row>
    <row r="52" spans="1:13" x14ac:dyDescent="0.25">
      <c r="A52" s="97" t="s">
        <v>55</v>
      </c>
      <c r="B52" s="60">
        <f>'Flujo y análisis sensibilidad '!C159</f>
        <v>0</v>
      </c>
      <c r="C52" s="60">
        <f>E13</f>
        <v>19734.470942171807</v>
      </c>
      <c r="D52" s="60">
        <f>E14</f>
        <v>21905.262745810709</v>
      </c>
      <c r="E52" s="60">
        <f>E15</f>
        <v>24314.841647849888</v>
      </c>
      <c r="F52" s="60">
        <f>E16</f>
        <v>26989.474229113373</v>
      </c>
      <c r="G52" s="60">
        <f>E17</f>
        <v>29958.316394315847</v>
      </c>
      <c r="H52" s="60">
        <f>E18</f>
        <v>33253.731197690591</v>
      </c>
      <c r="I52" s="60">
        <f>E19</f>
        <v>36911.641629436555</v>
      </c>
      <c r="J52" s="60">
        <f>E20</f>
        <v>40971.922208674572</v>
      </c>
      <c r="K52" s="60">
        <f>E21</f>
        <v>45478.833651628782</v>
      </c>
      <c r="L52" s="60">
        <f>E22</f>
        <v>50481.505353307941</v>
      </c>
      <c r="M52" s="98"/>
    </row>
    <row r="53" spans="1:13" ht="15.75" thickBot="1" x14ac:dyDescent="0.3">
      <c r="A53" s="66" t="s">
        <v>42</v>
      </c>
      <c r="B53" s="60" t="e">
        <f>B46+B45-B47-B48-B49+B50+B51-B52</f>
        <v>#REF!</v>
      </c>
      <c r="C53" s="60">
        <f>C46-C45-C47-C48-C49+C50-C52</f>
        <v>55953.329057828196</v>
      </c>
      <c r="D53" s="60">
        <f t="shared" ref="D53:L53" si="12">D46-D45-D47-D48-D49+D50-D52</f>
        <v>36108.192516957366</v>
      </c>
      <c r="E53" s="60">
        <f t="shared" si="12"/>
        <v>62112.781944788512</v>
      </c>
      <c r="F53" s="60">
        <f t="shared" si="12"/>
        <v>61518.040918082086</v>
      </c>
      <c r="G53" s="60">
        <f t="shared" si="12"/>
        <v>60857.878378437978</v>
      </c>
      <c r="H53" s="60">
        <f t="shared" si="12"/>
        <v>60125.097959433013</v>
      </c>
      <c r="I53" s="60">
        <f t="shared" si="12"/>
        <v>59311.711694337508</v>
      </c>
      <c r="J53" s="60">
        <f t="shared" si="12"/>
        <v>58408.852940081488</v>
      </c>
      <c r="K53" s="60">
        <f t="shared" si="12"/>
        <v>57406.679722857298</v>
      </c>
      <c r="L53" s="60">
        <f t="shared" si="12"/>
        <v>213294.26745173847</v>
      </c>
      <c r="M53" s="67"/>
    </row>
    <row r="54" spans="1:13" x14ac:dyDescent="0.25">
      <c r="B54" s="99"/>
      <c r="C54" s="99"/>
      <c r="D54" s="99"/>
      <c r="E54" s="99"/>
      <c r="F54" s="99"/>
      <c r="G54" s="99"/>
      <c r="H54" s="99"/>
      <c r="I54" s="99"/>
      <c r="J54" s="99"/>
      <c r="K54" s="99"/>
      <c r="L54" s="99"/>
    </row>
    <row r="55" spans="1:13" x14ac:dyDescent="0.25">
      <c r="B55" s="99"/>
      <c r="C55" s="99"/>
      <c r="D55" s="99"/>
      <c r="E55" s="99"/>
      <c r="F55" s="99"/>
      <c r="G55" s="99"/>
      <c r="H55" s="99"/>
      <c r="I55" s="99"/>
      <c r="J55" s="99"/>
      <c r="K55" s="99"/>
      <c r="L55" s="99"/>
    </row>
    <row r="56" spans="1:13" ht="15.75" thickBot="1" x14ac:dyDescent="0.3">
      <c r="A56" s="74" t="s">
        <v>104</v>
      </c>
      <c r="B56" s="99"/>
      <c r="C56" s="99"/>
      <c r="D56" s="99"/>
      <c r="E56" s="146" t="s">
        <v>105</v>
      </c>
      <c r="F56" s="99"/>
      <c r="G56" s="99"/>
      <c r="H56" s="99"/>
      <c r="I56" s="99"/>
      <c r="J56" s="99"/>
      <c r="K56" s="99"/>
      <c r="L56" s="99"/>
    </row>
    <row r="57" spans="1:13" ht="15.75" x14ac:dyDescent="0.25">
      <c r="A57" s="131" t="s">
        <v>43</v>
      </c>
      <c r="B57" s="149" t="e">
        <f>NPV(B58, C53:L53)+B53</f>
        <v>#REF!</v>
      </c>
      <c r="C57" s="99"/>
      <c r="D57" s="99"/>
      <c r="E57" s="147" t="s">
        <v>37</v>
      </c>
      <c r="F57" s="138">
        <f>-+B45</f>
        <v>470000</v>
      </c>
      <c r="G57" s="99"/>
      <c r="H57" s="99"/>
      <c r="I57" s="99"/>
      <c r="J57" s="99"/>
      <c r="K57" s="99"/>
      <c r="L57" s="99"/>
    </row>
    <row r="58" spans="1:13" ht="15.75" x14ac:dyDescent="0.25">
      <c r="A58" s="128" t="s">
        <v>74</v>
      </c>
      <c r="B58" s="133">
        <f>+F64</f>
        <v>0.1378723404255319</v>
      </c>
      <c r="C58" s="99"/>
      <c r="E58" s="148" t="s">
        <v>60</v>
      </c>
      <c r="F58" s="140">
        <f>+B51</f>
        <v>330000</v>
      </c>
      <c r="G58" s="99"/>
      <c r="H58" s="99"/>
      <c r="I58" s="99"/>
      <c r="J58" s="99"/>
      <c r="K58" s="99"/>
      <c r="L58" s="99"/>
    </row>
    <row r="59" spans="1:13" ht="15.75" x14ac:dyDescent="0.25">
      <c r="A59" s="128" t="s">
        <v>44</v>
      </c>
      <c r="B59" s="134" t="e">
        <f>IRR(B53:M53, 17%)</f>
        <v>#VALUE!</v>
      </c>
      <c r="C59" s="99"/>
      <c r="E59" s="148" t="s">
        <v>61</v>
      </c>
      <c r="F59" s="140">
        <f>+F57-F58</f>
        <v>140000</v>
      </c>
      <c r="G59" s="99"/>
      <c r="H59" s="99"/>
      <c r="I59" s="99"/>
      <c r="J59" s="99"/>
      <c r="K59" s="99"/>
      <c r="L59" s="99"/>
    </row>
    <row r="60" spans="1:13" ht="15.75" x14ac:dyDescent="0.25">
      <c r="A60" s="132" t="s">
        <v>37</v>
      </c>
      <c r="B60" s="135">
        <f>+-B45</f>
        <v>470000</v>
      </c>
      <c r="C60" s="99"/>
      <c r="E60" s="148" t="s">
        <v>68</v>
      </c>
      <c r="F60" s="141">
        <f>+F58/F57</f>
        <v>0.7021276595744681</v>
      </c>
      <c r="G60" s="99"/>
      <c r="H60" s="99"/>
      <c r="I60" s="99"/>
      <c r="J60" s="99"/>
      <c r="K60" s="99"/>
      <c r="L60" s="99"/>
    </row>
    <row r="61" spans="1:13" ht="15.75" x14ac:dyDescent="0.25">
      <c r="A61" s="128"/>
      <c r="B61" s="136"/>
      <c r="C61" s="99"/>
      <c r="E61" s="148" t="s">
        <v>69</v>
      </c>
      <c r="F61" s="141">
        <f>+F59/F57</f>
        <v>0.2978723404255319</v>
      </c>
      <c r="G61" s="99"/>
      <c r="H61" s="99"/>
      <c r="I61" s="99"/>
      <c r="J61" s="99"/>
      <c r="K61" s="99"/>
      <c r="L61" s="99"/>
    </row>
    <row r="62" spans="1:13" ht="15.75" x14ac:dyDescent="0.25">
      <c r="A62" s="128" t="s">
        <v>77</v>
      </c>
      <c r="B62" s="136" t="e">
        <f>+B57/B60</f>
        <v>#REF!</v>
      </c>
      <c r="E62" s="148" t="s">
        <v>70</v>
      </c>
      <c r="F62" s="142">
        <v>0.12</v>
      </c>
    </row>
    <row r="63" spans="1:13" ht="15.75" x14ac:dyDescent="0.25">
      <c r="A63" s="128" t="s">
        <v>65</v>
      </c>
      <c r="B63" s="135">
        <f>NPV(B58,C53:L53)</f>
        <v>336895.02271766763</v>
      </c>
      <c r="C63" s="99"/>
      <c r="E63" s="148" t="s">
        <v>71</v>
      </c>
      <c r="F63" s="142">
        <v>0.18</v>
      </c>
      <c r="G63" s="99"/>
      <c r="H63" s="99"/>
      <c r="I63" s="99"/>
      <c r="J63" s="99"/>
      <c r="K63" s="99"/>
      <c r="L63" s="99"/>
    </row>
    <row r="64" spans="1:13" ht="15.75" x14ac:dyDescent="0.25">
      <c r="A64" s="128" t="s">
        <v>66</v>
      </c>
      <c r="B64" s="135" t="e">
        <f>-+B53</f>
        <v>#REF!</v>
      </c>
      <c r="E64" s="148" t="s">
        <v>75</v>
      </c>
      <c r="F64" s="143">
        <f>+(F60*F62)+(F61*F63)</f>
        <v>0.1378723404255319</v>
      </c>
      <c r="G64" s="100"/>
    </row>
    <row r="65" spans="1:10" ht="15.75" thickBot="1" x14ac:dyDescent="0.3">
      <c r="A65" s="129" t="s">
        <v>78</v>
      </c>
      <c r="B65" s="137" t="e">
        <f>+B63/B64</f>
        <v>#REF!</v>
      </c>
      <c r="E65" s="139"/>
      <c r="F65" s="142"/>
      <c r="G65" s="100"/>
      <c r="J65" s="100"/>
    </row>
    <row r="68" spans="1:10" ht="15.75" x14ac:dyDescent="0.25">
      <c r="A68" s="152" t="s">
        <v>79</v>
      </c>
    </row>
    <row r="69" spans="1:10" ht="15.75" x14ac:dyDescent="0.25">
      <c r="A69" s="152"/>
    </row>
    <row r="70" spans="1:10" x14ac:dyDescent="0.25">
      <c r="A70" s="284" t="s">
        <v>106</v>
      </c>
      <c r="B70" s="284"/>
      <c r="C70" s="284"/>
    </row>
    <row r="71" spans="1:10" x14ac:dyDescent="0.25">
      <c r="A71" s="159" t="s">
        <v>96</v>
      </c>
      <c r="B71" s="158" t="s">
        <v>83</v>
      </c>
      <c r="C71" s="158" t="s">
        <v>76</v>
      </c>
    </row>
    <row r="72" spans="1:10" x14ac:dyDescent="0.25">
      <c r="A72" s="153" t="s">
        <v>80</v>
      </c>
      <c r="B72" s="156">
        <v>0</v>
      </c>
      <c r="C72" s="286" t="e">
        <f>B57</f>
        <v>#REF!</v>
      </c>
    </row>
    <row r="73" spans="1:10" x14ac:dyDescent="0.25">
      <c r="A73" s="153" t="s">
        <v>81</v>
      </c>
      <c r="B73" s="156">
        <v>0</v>
      </c>
      <c r="C73" s="287"/>
    </row>
    <row r="74" spans="1:10" x14ac:dyDescent="0.25">
      <c r="A74" s="153" t="s">
        <v>88</v>
      </c>
      <c r="B74" s="156">
        <v>0</v>
      </c>
      <c r="C74" s="287"/>
    </row>
    <row r="75" spans="1:10" x14ac:dyDescent="0.25">
      <c r="A75" s="153" t="s">
        <v>89</v>
      </c>
      <c r="B75" s="156">
        <v>0</v>
      </c>
      <c r="C75" s="287"/>
    </row>
    <row r="76" spans="1:10" x14ac:dyDescent="0.25">
      <c r="A76" s="153" t="s">
        <v>82</v>
      </c>
      <c r="B76" s="156">
        <v>0</v>
      </c>
      <c r="C76" s="288"/>
    </row>
    <row r="77" spans="1:10" x14ac:dyDescent="0.25">
      <c r="F77" s="284" t="s">
        <v>108</v>
      </c>
      <c r="G77" s="284"/>
      <c r="H77" s="284"/>
    </row>
    <row r="78" spans="1:10" x14ac:dyDescent="0.25">
      <c r="A78" s="284" t="s">
        <v>107</v>
      </c>
      <c r="B78" s="284"/>
      <c r="C78" s="284"/>
      <c r="F78" s="285" t="s">
        <v>76</v>
      </c>
      <c r="G78" s="285"/>
      <c r="H78" s="285"/>
    </row>
    <row r="79" spans="1:10" x14ac:dyDescent="0.25">
      <c r="A79" s="159" t="s">
        <v>96</v>
      </c>
      <c r="B79" s="154" t="s">
        <v>84</v>
      </c>
      <c r="C79" s="154">
        <v>0</v>
      </c>
      <c r="D79" s="154" t="s">
        <v>87</v>
      </c>
      <c r="E79" s="150"/>
      <c r="F79" s="154" t="s">
        <v>90</v>
      </c>
      <c r="G79" s="154" t="s">
        <v>91</v>
      </c>
      <c r="H79" s="160" t="s">
        <v>92</v>
      </c>
    </row>
    <row r="80" spans="1:10" x14ac:dyDescent="0.25">
      <c r="A80" s="153" t="s">
        <v>80</v>
      </c>
      <c r="B80" s="157">
        <v>245942</v>
      </c>
      <c r="C80" s="157">
        <v>142994</v>
      </c>
      <c r="D80" s="157">
        <v>34781</v>
      </c>
      <c r="E80" s="162" t="s">
        <v>37</v>
      </c>
      <c r="F80" s="161">
        <f>(B80-C80)/C80</f>
        <v>0.71994629145278821</v>
      </c>
      <c r="G80" s="161">
        <f>(D80-C80)/C80</f>
        <v>-0.75676601815460787</v>
      </c>
      <c r="H80" s="155" t="s">
        <v>93</v>
      </c>
    </row>
    <row r="81" spans="1:8" x14ac:dyDescent="0.25">
      <c r="A81" s="153" t="s">
        <v>81</v>
      </c>
      <c r="B81" s="157">
        <v>127927</v>
      </c>
      <c r="C81" s="157">
        <v>142994</v>
      </c>
      <c r="D81" s="157">
        <v>158061</v>
      </c>
      <c r="E81" s="162" t="s">
        <v>38</v>
      </c>
      <c r="F81" s="161">
        <f>(B81-C81)/C81</f>
        <v>-0.10536805740100984</v>
      </c>
      <c r="G81" s="161">
        <f>(D81-C81)/C81</f>
        <v>0.10536805740100984</v>
      </c>
      <c r="H81" s="155" t="s">
        <v>94</v>
      </c>
    </row>
    <row r="82" spans="1:8" x14ac:dyDescent="0.25">
      <c r="A82" s="153" t="s">
        <v>88</v>
      </c>
      <c r="B82" s="157">
        <v>160073</v>
      </c>
      <c r="C82" s="157">
        <v>142994</v>
      </c>
      <c r="D82" s="157">
        <v>125915</v>
      </c>
      <c r="E82" s="162" t="s">
        <v>30</v>
      </c>
      <c r="F82" s="161">
        <f>(B82-C82)/C82</f>
        <v>0.11943857784242695</v>
      </c>
      <c r="G82" s="161">
        <f>(D82-C82)/C82</f>
        <v>-0.11943857784242695</v>
      </c>
      <c r="H82" s="155" t="s">
        <v>94</v>
      </c>
    </row>
    <row r="83" spans="1:8" x14ac:dyDescent="0.25">
      <c r="A83" s="153" t="s">
        <v>89</v>
      </c>
      <c r="B83" s="157">
        <v>145736</v>
      </c>
      <c r="C83" s="157">
        <v>142994</v>
      </c>
      <c r="D83" s="157">
        <v>140252</v>
      </c>
      <c r="E83" s="162" t="s">
        <v>97</v>
      </c>
      <c r="F83" s="161">
        <f>(B83-C83)/C83</f>
        <v>1.9175629746702658E-2</v>
      </c>
      <c r="G83" s="161">
        <f>(D83-C83)/C83</f>
        <v>-1.9175629746702658E-2</v>
      </c>
      <c r="H83" s="155" t="s">
        <v>95</v>
      </c>
    </row>
    <row r="84" spans="1:8" x14ac:dyDescent="0.25">
      <c r="A84" s="153" t="s">
        <v>82</v>
      </c>
      <c r="B84" s="157">
        <v>141356</v>
      </c>
      <c r="C84" s="157">
        <v>142994</v>
      </c>
      <c r="D84" s="157">
        <v>144593</v>
      </c>
      <c r="E84" s="162" t="s">
        <v>98</v>
      </c>
      <c r="F84" s="161">
        <f>(B84-C84)/C84</f>
        <v>-1.1455026085010559E-2</v>
      </c>
      <c r="G84" s="161">
        <f>(D84-C84)/C84</f>
        <v>1.1182287368700784E-2</v>
      </c>
      <c r="H84" s="155" t="s">
        <v>95</v>
      </c>
    </row>
    <row r="87" spans="1:8" x14ac:dyDescent="0.25">
      <c r="A87" s="284" t="s">
        <v>99</v>
      </c>
      <c r="B87" s="284"/>
      <c r="C87" s="284"/>
      <c r="D87" s="284"/>
      <c r="F87" s="285" t="s">
        <v>76</v>
      </c>
      <c r="G87" s="285"/>
      <c r="H87" s="285"/>
    </row>
    <row r="88" spans="1:8" x14ac:dyDescent="0.25">
      <c r="A88" s="159" t="s">
        <v>96</v>
      </c>
      <c r="B88" s="154" t="s">
        <v>85</v>
      </c>
      <c r="C88" s="154">
        <v>0</v>
      </c>
      <c r="D88" s="154" t="s">
        <v>86</v>
      </c>
      <c r="E88" s="150"/>
      <c r="F88" s="154" t="s">
        <v>90</v>
      </c>
      <c r="G88" s="154" t="s">
        <v>91</v>
      </c>
      <c r="H88" s="160" t="s">
        <v>92</v>
      </c>
    </row>
    <row r="89" spans="1:8" x14ac:dyDescent="0.25">
      <c r="A89" s="153" t="s">
        <v>80</v>
      </c>
      <c r="B89" s="157"/>
      <c r="C89" s="157">
        <v>142994</v>
      </c>
      <c r="D89" s="157"/>
      <c r="E89" s="162" t="s">
        <v>37</v>
      </c>
      <c r="F89" s="161">
        <f>(B89-C89)/C89</f>
        <v>-1</v>
      </c>
      <c r="G89" s="161">
        <f>(D89-C89)/C89</f>
        <v>-1</v>
      </c>
      <c r="H89" s="155" t="s">
        <v>93</v>
      </c>
    </row>
    <row r="90" spans="1:8" x14ac:dyDescent="0.25">
      <c r="A90" s="153" t="s">
        <v>81</v>
      </c>
      <c r="B90" s="157"/>
      <c r="C90" s="157">
        <v>142994</v>
      </c>
      <c r="D90" s="157"/>
      <c r="E90" s="162" t="s">
        <v>38</v>
      </c>
      <c r="F90" s="161">
        <f>(B90-C90)/C90</f>
        <v>-1</v>
      </c>
      <c r="G90" s="161">
        <f>(D90-C90)/C90</f>
        <v>-1</v>
      </c>
      <c r="H90" s="155" t="s">
        <v>94</v>
      </c>
    </row>
    <row r="91" spans="1:8" x14ac:dyDescent="0.25">
      <c r="A91" s="153" t="s">
        <v>88</v>
      </c>
      <c r="B91" s="157"/>
      <c r="C91" s="157">
        <v>142994</v>
      </c>
      <c r="D91" s="157"/>
      <c r="E91" s="162" t="s">
        <v>30</v>
      </c>
      <c r="F91" s="161">
        <f>(B91-C91)/C91</f>
        <v>-1</v>
      </c>
      <c r="G91" s="161">
        <f>(D91-C91)/C91</f>
        <v>-1</v>
      </c>
      <c r="H91" s="155" t="s">
        <v>94</v>
      </c>
    </row>
    <row r="92" spans="1:8" x14ac:dyDescent="0.25">
      <c r="A92" s="153" t="s">
        <v>89</v>
      </c>
      <c r="B92" s="157"/>
      <c r="C92" s="157">
        <v>142994</v>
      </c>
      <c r="D92" s="157"/>
      <c r="E92" s="162" t="s">
        <v>97</v>
      </c>
      <c r="F92" s="161">
        <f>(B92-C92)/C92</f>
        <v>-1</v>
      </c>
      <c r="G92" s="161">
        <f>(D92-C92)/C92</f>
        <v>-1</v>
      </c>
      <c r="H92" s="155" t="s">
        <v>95</v>
      </c>
    </row>
    <row r="93" spans="1:8" x14ac:dyDescent="0.25">
      <c r="A93" s="153" t="s">
        <v>82</v>
      </c>
      <c r="B93" s="157"/>
      <c r="C93" s="157">
        <v>142994</v>
      </c>
      <c r="D93" s="157"/>
      <c r="E93" s="162" t="s">
        <v>98</v>
      </c>
      <c r="F93" s="161">
        <f>(B93-C93)/C93</f>
        <v>-1</v>
      </c>
      <c r="G93" s="161">
        <f>(D93-C93)/C93</f>
        <v>-1</v>
      </c>
      <c r="H93" s="155" t="s">
        <v>95</v>
      </c>
    </row>
    <row r="95" spans="1:8" x14ac:dyDescent="0.25">
      <c r="A95" s="151" t="s">
        <v>100</v>
      </c>
    </row>
    <row r="96" spans="1:8" x14ac:dyDescent="0.25">
      <c r="A96" s="283" t="s">
        <v>109</v>
      </c>
      <c r="B96" s="283"/>
      <c r="C96" s="283"/>
      <c r="D96" s="283"/>
      <c r="E96" s="283"/>
      <c r="F96" s="283"/>
      <c r="G96" s="283"/>
      <c r="H96" s="283"/>
    </row>
    <row r="97" spans="1:8" ht="50.25" customHeight="1" x14ac:dyDescent="0.25">
      <c r="A97" s="282" t="s">
        <v>110</v>
      </c>
      <c r="B97" s="282"/>
      <c r="C97" s="282"/>
      <c r="D97" s="282"/>
      <c r="E97" s="282"/>
      <c r="F97" s="282"/>
      <c r="G97" s="282"/>
      <c r="H97" s="282"/>
    </row>
    <row r="98" spans="1:8" ht="29.25" customHeight="1" x14ac:dyDescent="0.25">
      <c r="A98" s="282" t="s">
        <v>112</v>
      </c>
      <c r="B98" s="282"/>
      <c r="C98" s="282"/>
      <c r="D98" s="282"/>
      <c r="E98" s="282"/>
      <c r="F98" s="282"/>
      <c r="G98" s="282"/>
      <c r="H98" s="282"/>
    </row>
    <row r="99" spans="1:8" x14ac:dyDescent="0.25">
      <c r="A99" t="s">
        <v>111</v>
      </c>
    </row>
    <row r="100" spans="1:8" x14ac:dyDescent="0.25">
      <c r="A100" t="s">
        <v>101</v>
      </c>
    </row>
    <row r="101" spans="1:8" ht="28.5" customHeight="1" x14ac:dyDescent="0.25">
      <c r="A101" s="282" t="s">
        <v>102</v>
      </c>
      <c r="B101" s="282"/>
      <c r="C101" s="282"/>
      <c r="D101" s="282"/>
      <c r="E101" s="282"/>
      <c r="F101" s="282"/>
      <c r="G101" s="282"/>
      <c r="H101" s="282"/>
    </row>
    <row r="103" spans="1:8" x14ac:dyDescent="0.25">
      <c r="A103" s="283" t="s">
        <v>103</v>
      </c>
      <c r="B103" s="283"/>
      <c r="C103" s="283"/>
      <c r="D103" s="283"/>
      <c r="E103" s="283"/>
      <c r="F103" s="283"/>
      <c r="G103" s="283"/>
      <c r="H103" s="283"/>
    </row>
  </sheetData>
  <mergeCells count="12">
    <mergeCell ref="A101:H101"/>
    <mergeCell ref="A103:H103"/>
    <mergeCell ref="A70:C70"/>
    <mergeCell ref="A78:C78"/>
    <mergeCell ref="F77:H77"/>
    <mergeCell ref="F78:H78"/>
    <mergeCell ref="C72:C76"/>
    <mergeCell ref="F87:H87"/>
    <mergeCell ref="A87:D87"/>
    <mergeCell ref="A97:H97"/>
    <mergeCell ref="A98:H98"/>
    <mergeCell ref="A96:H96"/>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zoomScale="80" zoomScaleNormal="80" workbookViewId="0">
      <selection activeCell="B10" sqref="B10"/>
    </sheetView>
  </sheetViews>
  <sheetFormatPr baseColWidth="10" defaultRowHeight="15" x14ac:dyDescent="0.25"/>
  <cols>
    <col min="1" max="1" width="44.28515625" customWidth="1"/>
    <col min="2" max="2" width="16" customWidth="1"/>
    <col min="3" max="3" width="12.42578125" customWidth="1"/>
    <col min="4" max="4" width="12.85546875" customWidth="1"/>
    <col min="5" max="5" width="23.28515625" customWidth="1"/>
    <col min="6" max="6" width="12.7109375" customWidth="1"/>
    <col min="7" max="7" width="12.28515625" customWidth="1"/>
    <col min="8" max="8" width="20" customWidth="1"/>
    <col min="9" max="9" width="12.85546875" customWidth="1"/>
    <col min="10" max="10" width="13.7109375" customWidth="1"/>
    <col min="11" max="11" width="12.42578125" customWidth="1"/>
    <col min="257" max="257" width="44.28515625" customWidth="1"/>
    <col min="258" max="258" width="16" customWidth="1"/>
    <col min="259" max="259" width="12.42578125" customWidth="1"/>
    <col min="260" max="260" width="12.85546875" customWidth="1"/>
    <col min="261" max="261" width="23.28515625" customWidth="1"/>
    <col min="262" max="262" width="12.7109375" customWidth="1"/>
    <col min="263" max="263" width="12.28515625" customWidth="1"/>
    <col min="264" max="264" width="20" customWidth="1"/>
    <col min="265" max="265" width="12.85546875" customWidth="1"/>
    <col min="266" max="266" width="13.7109375" customWidth="1"/>
    <col min="267" max="267" width="12.42578125" customWidth="1"/>
    <col min="513" max="513" width="44.28515625" customWidth="1"/>
    <col min="514" max="514" width="16" customWidth="1"/>
    <col min="515" max="515" width="12.42578125" customWidth="1"/>
    <col min="516" max="516" width="12.85546875" customWidth="1"/>
    <col min="517" max="517" width="23.28515625" customWidth="1"/>
    <col min="518" max="518" width="12.7109375" customWidth="1"/>
    <col min="519" max="519" width="12.28515625" customWidth="1"/>
    <col min="520" max="520" width="20" customWidth="1"/>
    <col min="521" max="521" width="12.85546875" customWidth="1"/>
    <col min="522" max="522" width="13.7109375" customWidth="1"/>
    <col min="523" max="523" width="12.42578125" customWidth="1"/>
    <col min="769" max="769" width="44.28515625" customWidth="1"/>
    <col min="770" max="770" width="16" customWidth="1"/>
    <col min="771" max="771" width="12.42578125" customWidth="1"/>
    <col min="772" max="772" width="12.85546875" customWidth="1"/>
    <col min="773" max="773" width="23.28515625" customWidth="1"/>
    <col min="774" max="774" width="12.7109375" customWidth="1"/>
    <col min="775" max="775" width="12.28515625" customWidth="1"/>
    <col min="776" max="776" width="20" customWidth="1"/>
    <col min="777" max="777" width="12.85546875" customWidth="1"/>
    <col min="778" max="778" width="13.7109375" customWidth="1"/>
    <col min="779" max="779" width="12.42578125" customWidth="1"/>
    <col min="1025" max="1025" width="44.28515625" customWidth="1"/>
    <col min="1026" max="1026" width="16" customWidth="1"/>
    <col min="1027" max="1027" width="12.42578125" customWidth="1"/>
    <col min="1028" max="1028" width="12.85546875" customWidth="1"/>
    <col min="1029" max="1029" width="23.28515625" customWidth="1"/>
    <col min="1030" max="1030" width="12.7109375" customWidth="1"/>
    <col min="1031" max="1031" width="12.28515625" customWidth="1"/>
    <col min="1032" max="1032" width="20" customWidth="1"/>
    <col min="1033" max="1033" width="12.85546875" customWidth="1"/>
    <col min="1034" max="1034" width="13.7109375" customWidth="1"/>
    <col min="1035" max="1035" width="12.42578125" customWidth="1"/>
    <col min="1281" max="1281" width="44.28515625" customWidth="1"/>
    <col min="1282" max="1282" width="16" customWidth="1"/>
    <col min="1283" max="1283" width="12.42578125" customWidth="1"/>
    <col min="1284" max="1284" width="12.85546875" customWidth="1"/>
    <col min="1285" max="1285" width="23.28515625" customWidth="1"/>
    <col min="1286" max="1286" width="12.7109375" customWidth="1"/>
    <col min="1287" max="1287" width="12.28515625" customWidth="1"/>
    <col min="1288" max="1288" width="20" customWidth="1"/>
    <col min="1289" max="1289" width="12.85546875" customWidth="1"/>
    <col min="1290" max="1290" width="13.7109375" customWidth="1"/>
    <col min="1291" max="1291" width="12.42578125" customWidth="1"/>
    <col min="1537" max="1537" width="44.28515625" customWidth="1"/>
    <col min="1538" max="1538" width="16" customWidth="1"/>
    <col min="1539" max="1539" width="12.42578125" customWidth="1"/>
    <col min="1540" max="1540" width="12.85546875" customWidth="1"/>
    <col min="1541" max="1541" width="23.28515625" customWidth="1"/>
    <col min="1542" max="1542" width="12.7109375" customWidth="1"/>
    <col min="1543" max="1543" width="12.28515625" customWidth="1"/>
    <col min="1544" max="1544" width="20" customWidth="1"/>
    <col min="1545" max="1545" width="12.85546875" customWidth="1"/>
    <col min="1546" max="1546" width="13.7109375" customWidth="1"/>
    <col min="1547" max="1547" width="12.42578125" customWidth="1"/>
    <col min="1793" max="1793" width="44.28515625" customWidth="1"/>
    <col min="1794" max="1794" width="16" customWidth="1"/>
    <col min="1795" max="1795" width="12.42578125" customWidth="1"/>
    <col min="1796" max="1796" width="12.85546875" customWidth="1"/>
    <col min="1797" max="1797" width="23.28515625" customWidth="1"/>
    <col min="1798" max="1798" width="12.7109375" customWidth="1"/>
    <col min="1799" max="1799" width="12.28515625" customWidth="1"/>
    <col min="1800" max="1800" width="20" customWidth="1"/>
    <col min="1801" max="1801" width="12.85546875" customWidth="1"/>
    <col min="1802" max="1802" width="13.7109375" customWidth="1"/>
    <col min="1803" max="1803" width="12.42578125" customWidth="1"/>
    <col min="2049" max="2049" width="44.28515625" customWidth="1"/>
    <col min="2050" max="2050" width="16" customWidth="1"/>
    <col min="2051" max="2051" width="12.42578125" customWidth="1"/>
    <col min="2052" max="2052" width="12.85546875" customWidth="1"/>
    <col min="2053" max="2053" width="23.28515625" customWidth="1"/>
    <col min="2054" max="2054" width="12.7109375" customWidth="1"/>
    <col min="2055" max="2055" width="12.28515625" customWidth="1"/>
    <col min="2056" max="2056" width="20" customWidth="1"/>
    <col min="2057" max="2057" width="12.85546875" customWidth="1"/>
    <col min="2058" max="2058" width="13.7109375" customWidth="1"/>
    <col min="2059" max="2059" width="12.42578125" customWidth="1"/>
    <col min="2305" max="2305" width="44.28515625" customWidth="1"/>
    <col min="2306" max="2306" width="16" customWidth="1"/>
    <col min="2307" max="2307" width="12.42578125" customWidth="1"/>
    <col min="2308" max="2308" width="12.85546875" customWidth="1"/>
    <col min="2309" max="2309" width="23.28515625" customWidth="1"/>
    <col min="2310" max="2310" width="12.7109375" customWidth="1"/>
    <col min="2311" max="2311" width="12.28515625" customWidth="1"/>
    <col min="2312" max="2312" width="20" customWidth="1"/>
    <col min="2313" max="2313" width="12.85546875" customWidth="1"/>
    <col min="2314" max="2314" width="13.7109375" customWidth="1"/>
    <col min="2315" max="2315" width="12.42578125" customWidth="1"/>
    <col min="2561" max="2561" width="44.28515625" customWidth="1"/>
    <col min="2562" max="2562" width="16" customWidth="1"/>
    <col min="2563" max="2563" width="12.42578125" customWidth="1"/>
    <col min="2564" max="2564" width="12.85546875" customWidth="1"/>
    <col min="2565" max="2565" width="23.28515625" customWidth="1"/>
    <col min="2566" max="2566" width="12.7109375" customWidth="1"/>
    <col min="2567" max="2567" width="12.28515625" customWidth="1"/>
    <col min="2568" max="2568" width="20" customWidth="1"/>
    <col min="2569" max="2569" width="12.85546875" customWidth="1"/>
    <col min="2570" max="2570" width="13.7109375" customWidth="1"/>
    <col min="2571" max="2571" width="12.42578125" customWidth="1"/>
    <col min="2817" max="2817" width="44.28515625" customWidth="1"/>
    <col min="2818" max="2818" width="16" customWidth="1"/>
    <col min="2819" max="2819" width="12.42578125" customWidth="1"/>
    <col min="2820" max="2820" width="12.85546875" customWidth="1"/>
    <col min="2821" max="2821" width="23.28515625" customWidth="1"/>
    <col min="2822" max="2822" width="12.7109375" customWidth="1"/>
    <col min="2823" max="2823" width="12.28515625" customWidth="1"/>
    <col min="2824" max="2824" width="20" customWidth="1"/>
    <col min="2825" max="2825" width="12.85546875" customWidth="1"/>
    <col min="2826" max="2826" width="13.7109375" customWidth="1"/>
    <col min="2827" max="2827" width="12.42578125" customWidth="1"/>
    <col min="3073" max="3073" width="44.28515625" customWidth="1"/>
    <col min="3074" max="3074" width="16" customWidth="1"/>
    <col min="3075" max="3075" width="12.42578125" customWidth="1"/>
    <col min="3076" max="3076" width="12.85546875" customWidth="1"/>
    <col min="3077" max="3077" width="23.28515625" customWidth="1"/>
    <col min="3078" max="3078" width="12.7109375" customWidth="1"/>
    <col min="3079" max="3079" width="12.28515625" customWidth="1"/>
    <col min="3080" max="3080" width="20" customWidth="1"/>
    <col min="3081" max="3081" width="12.85546875" customWidth="1"/>
    <col min="3082" max="3082" width="13.7109375" customWidth="1"/>
    <col min="3083" max="3083" width="12.42578125" customWidth="1"/>
    <col min="3329" max="3329" width="44.28515625" customWidth="1"/>
    <col min="3330" max="3330" width="16" customWidth="1"/>
    <col min="3331" max="3331" width="12.42578125" customWidth="1"/>
    <col min="3332" max="3332" width="12.85546875" customWidth="1"/>
    <col min="3333" max="3333" width="23.28515625" customWidth="1"/>
    <col min="3334" max="3334" width="12.7109375" customWidth="1"/>
    <col min="3335" max="3335" width="12.28515625" customWidth="1"/>
    <col min="3336" max="3336" width="20" customWidth="1"/>
    <col min="3337" max="3337" width="12.85546875" customWidth="1"/>
    <col min="3338" max="3338" width="13.7109375" customWidth="1"/>
    <col min="3339" max="3339" width="12.42578125" customWidth="1"/>
    <col min="3585" max="3585" width="44.28515625" customWidth="1"/>
    <col min="3586" max="3586" width="16" customWidth="1"/>
    <col min="3587" max="3587" width="12.42578125" customWidth="1"/>
    <col min="3588" max="3588" width="12.85546875" customWidth="1"/>
    <col min="3589" max="3589" width="23.28515625" customWidth="1"/>
    <col min="3590" max="3590" width="12.7109375" customWidth="1"/>
    <col min="3591" max="3591" width="12.28515625" customWidth="1"/>
    <col min="3592" max="3592" width="20" customWidth="1"/>
    <col min="3593" max="3593" width="12.85546875" customWidth="1"/>
    <col min="3594" max="3594" width="13.7109375" customWidth="1"/>
    <col min="3595" max="3595" width="12.42578125" customWidth="1"/>
    <col min="3841" max="3841" width="44.28515625" customWidth="1"/>
    <col min="3842" max="3842" width="16" customWidth="1"/>
    <col min="3843" max="3843" width="12.42578125" customWidth="1"/>
    <col min="3844" max="3844" width="12.85546875" customWidth="1"/>
    <col min="3845" max="3845" width="23.28515625" customWidth="1"/>
    <col min="3846" max="3846" width="12.7109375" customWidth="1"/>
    <col min="3847" max="3847" width="12.28515625" customWidth="1"/>
    <col min="3848" max="3848" width="20" customWidth="1"/>
    <col min="3849" max="3849" width="12.85546875" customWidth="1"/>
    <col min="3850" max="3850" width="13.7109375" customWidth="1"/>
    <col min="3851" max="3851" width="12.42578125" customWidth="1"/>
    <col min="4097" max="4097" width="44.28515625" customWidth="1"/>
    <col min="4098" max="4098" width="16" customWidth="1"/>
    <col min="4099" max="4099" width="12.42578125" customWidth="1"/>
    <col min="4100" max="4100" width="12.85546875" customWidth="1"/>
    <col min="4101" max="4101" width="23.28515625" customWidth="1"/>
    <col min="4102" max="4102" width="12.7109375" customWidth="1"/>
    <col min="4103" max="4103" width="12.28515625" customWidth="1"/>
    <col min="4104" max="4104" width="20" customWidth="1"/>
    <col min="4105" max="4105" width="12.85546875" customWidth="1"/>
    <col min="4106" max="4106" width="13.7109375" customWidth="1"/>
    <col min="4107" max="4107" width="12.42578125" customWidth="1"/>
    <col min="4353" max="4353" width="44.28515625" customWidth="1"/>
    <col min="4354" max="4354" width="16" customWidth="1"/>
    <col min="4355" max="4355" width="12.42578125" customWidth="1"/>
    <col min="4356" max="4356" width="12.85546875" customWidth="1"/>
    <col min="4357" max="4357" width="23.28515625" customWidth="1"/>
    <col min="4358" max="4358" width="12.7109375" customWidth="1"/>
    <col min="4359" max="4359" width="12.28515625" customWidth="1"/>
    <col min="4360" max="4360" width="20" customWidth="1"/>
    <col min="4361" max="4361" width="12.85546875" customWidth="1"/>
    <col min="4362" max="4362" width="13.7109375" customWidth="1"/>
    <col min="4363" max="4363" width="12.42578125" customWidth="1"/>
    <col min="4609" max="4609" width="44.28515625" customWidth="1"/>
    <col min="4610" max="4610" width="16" customWidth="1"/>
    <col min="4611" max="4611" width="12.42578125" customWidth="1"/>
    <col min="4612" max="4612" width="12.85546875" customWidth="1"/>
    <col min="4613" max="4613" width="23.28515625" customWidth="1"/>
    <col min="4614" max="4614" width="12.7109375" customWidth="1"/>
    <col min="4615" max="4615" width="12.28515625" customWidth="1"/>
    <col min="4616" max="4616" width="20" customWidth="1"/>
    <col min="4617" max="4617" width="12.85546875" customWidth="1"/>
    <col min="4618" max="4618" width="13.7109375" customWidth="1"/>
    <col min="4619" max="4619" width="12.42578125" customWidth="1"/>
    <col min="4865" max="4865" width="44.28515625" customWidth="1"/>
    <col min="4866" max="4866" width="16" customWidth="1"/>
    <col min="4867" max="4867" width="12.42578125" customWidth="1"/>
    <col min="4868" max="4868" width="12.85546875" customWidth="1"/>
    <col min="4869" max="4869" width="23.28515625" customWidth="1"/>
    <col min="4870" max="4870" width="12.7109375" customWidth="1"/>
    <col min="4871" max="4871" width="12.28515625" customWidth="1"/>
    <col min="4872" max="4872" width="20" customWidth="1"/>
    <col min="4873" max="4873" width="12.85546875" customWidth="1"/>
    <col min="4874" max="4874" width="13.7109375" customWidth="1"/>
    <col min="4875" max="4875" width="12.42578125" customWidth="1"/>
    <col min="5121" max="5121" width="44.28515625" customWidth="1"/>
    <col min="5122" max="5122" width="16" customWidth="1"/>
    <col min="5123" max="5123" width="12.42578125" customWidth="1"/>
    <col min="5124" max="5124" width="12.85546875" customWidth="1"/>
    <col min="5125" max="5125" width="23.28515625" customWidth="1"/>
    <col min="5126" max="5126" width="12.7109375" customWidth="1"/>
    <col min="5127" max="5127" width="12.28515625" customWidth="1"/>
    <col min="5128" max="5128" width="20" customWidth="1"/>
    <col min="5129" max="5129" width="12.85546875" customWidth="1"/>
    <col min="5130" max="5130" width="13.7109375" customWidth="1"/>
    <col min="5131" max="5131" width="12.42578125" customWidth="1"/>
    <col min="5377" max="5377" width="44.28515625" customWidth="1"/>
    <col min="5378" max="5378" width="16" customWidth="1"/>
    <col min="5379" max="5379" width="12.42578125" customWidth="1"/>
    <col min="5380" max="5380" width="12.85546875" customWidth="1"/>
    <col min="5381" max="5381" width="23.28515625" customWidth="1"/>
    <col min="5382" max="5382" width="12.7109375" customWidth="1"/>
    <col min="5383" max="5383" width="12.28515625" customWidth="1"/>
    <col min="5384" max="5384" width="20" customWidth="1"/>
    <col min="5385" max="5385" width="12.85546875" customWidth="1"/>
    <col min="5386" max="5386" width="13.7109375" customWidth="1"/>
    <col min="5387" max="5387" width="12.42578125" customWidth="1"/>
    <col min="5633" max="5633" width="44.28515625" customWidth="1"/>
    <col min="5634" max="5634" width="16" customWidth="1"/>
    <col min="5635" max="5635" width="12.42578125" customWidth="1"/>
    <col min="5636" max="5636" width="12.85546875" customWidth="1"/>
    <col min="5637" max="5637" width="23.28515625" customWidth="1"/>
    <col min="5638" max="5638" width="12.7109375" customWidth="1"/>
    <col min="5639" max="5639" width="12.28515625" customWidth="1"/>
    <col min="5640" max="5640" width="20" customWidth="1"/>
    <col min="5641" max="5641" width="12.85546875" customWidth="1"/>
    <col min="5642" max="5642" width="13.7109375" customWidth="1"/>
    <col min="5643" max="5643" width="12.42578125" customWidth="1"/>
    <col min="5889" max="5889" width="44.28515625" customWidth="1"/>
    <col min="5890" max="5890" width="16" customWidth="1"/>
    <col min="5891" max="5891" width="12.42578125" customWidth="1"/>
    <col min="5892" max="5892" width="12.85546875" customWidth="1"/>
    <col min="5893" max="5893" width="23.28515625" customWidth="1"/>
    <col min="5894" max="5894" width="12.7109375" customWidth="1"/>
    <col min="5895" max="5895" width="12.28515625" customWidth="1"/>
    <col min="5896" max="5896" width="20" customWidth="1"/>
    <col min="5897" max="5897" width="12.85546875" customWidth="1"/>
    <col min="5898" max="5898" width="13.7109375" customWidth="1"/>
    <col min="5899" max="5899" width="12.42578125" customWidth="1"/>
    <col min="6145" max="6145" width="44.28515625" customWidth="1"/>
    <col min="6146" max="6146" width="16" customWidth="1"/>
    <col min="6147" max="6147" width="12.42578125" customWidth="1"/>
    <col min="6148" max="6148" width="12.85546875" customWidth="1"/>
    <col min="6149" max="6149" width="23.28515625" customWidth="1"/>
    <col min="6150" max="6150" width="12.7109375" customWidth="1"/>
    <col min="6151" max="6151" width="12.28515625" customWidth="1"/>
    <col min="6152" max="6152" width="20" customWidth="1"/>
    <col min="6153" max="6153" width="12.85546875" customWidth="1"/>
    <col min="6154" max="6154" width="13.7109375" customWidth="1"/>
    <col min="6155" max="6155" width="12.42578125" customWidth="1"/>
    <col min="6401" max="6401" width="44.28515625" customWidth="1"/>
    <col min="6402" max="6402" width="16" customWidth="1"/>
    <col min="6403" max="6403" width="12.42578125" customWidth="1"/>
    <col min="6404" max="6404" width="12.85546875" customWidth="1"/>
    <col min="6405" max="6405" width="23.28515625" customWidth="1"/>
    <col min="6406" max="6406" width="12.7109375" customWidth="1"/>
    <col min="6407" max="6407" width="12.28515625" customWidth="1"/>
    <col min="6408" max="6408" width="20" customWidth="1"/>
    <col min="6409" max="6409" width="12.85546875" customWidth="1"/>
    <col min="6410" max="6410" width="13.7109375" customWidth="1"/>
    <col min="6411" max="6411" width="12.42578125" customWidth="1"/>
    <col min="6657" max="6657" width="44.28515625" customWidth="1"/>
    <col min="6658" max="6658" width="16" customWidth="1"/>
    <col min="6659" max="6659" width="12.42578125" customWidth="1"/>
    <col min="6660" max="6660" width="12.85546875" customWidth="1"/>
    <col min="6661" max="6661" width="23.28515625" customWidth="1"/>
    <col min="6662" max="6662" width="12.7109375" customWidth="1"/>
    <col min="6663" max="6663" width="12.28515625" customWidth="1"/>
    <col min="6664" max="6664" width="20" customWidth="1"/>
    <col min="6665" max="6665" width="12.85546875" customWidth="1"/>
    <col min="6666" max="6666" width="13.7109375" customWidth="1"/>
    <col min="6667" max="6667" width="12.42578125" customWidth="1"/>
    <col min="6913" max="6913" width="44.28515625" customWidth="1"/>
    <col min="6914" max="6914" width="16" customWidth="1"/>
    <col min="6915" max="6915" width="12.42578125" customWidth="1"/>
    <col min="6916" max="6916" width="12.85546875" customWidth="1"/>
    <col min="6917" max="6917" width="23.28515625" customWidth="1"/>
    <col min="6918" max="6918" width="12.7109375" customWidth="1"/>
    <col min="6919" max="6919" width="12.28515625" customWidth="1"/>
    <col min="6920" max="6920" width="20" customWidth="1"/>
    <col min="6921" max="6921" width="12.85546875" customWidth="1"/>
    <col min="6922" max="6922" width="13.7109375" customWidth="1"/>
    <col min="6923" max="6923" width="12.42578125" customWidth="1"/>
    <col min="7169" max="7169" width="44.28515625" customWidth="1"/>
    <col min="7170" max="7170" width="16" customWidth="1"/>
    <col min="7171" max="7171" width="12.42578125" customWidth="1"/>
    <col min="7172" max="7172" width="12.85546875" customWidth="1"/>
    <col min="7173" max="7173" width="23.28515625" customWidth="1"/>
    <col min="7174" max="7174" width="12.7109375" customWidth="1"/>
    <col min="7175" max="7175" width="12.28515625" customWidth="1"/>
    <col min="7176" max="7176" width="20" customWidth="1"/>
    <col min="7177" max="7177" width="12.85546875" customWidth="1"/>
    <col min="7178" max="7178" width="13.7109375" customWidth="1"/>
    <col min="7179" max="7179" width="12.42578125" customWidth="1"/>
    <col min="7425" max="7425" width="44.28515625" customWidth="1"/>
    <col min="7426" max="7426" width="16" customWidth="1"/>
    <col min="7427" max="7427" width="12.42578125" customWidth="1"/>
    <col min="7428" max="7428" width="12.85546875" customWidth="1"/>
    <col min="7429" max="7429" width="23.28515625" customWidth="1"/>
    <col min="7430" max="7430" width="12.7109375" customWidth="1"/>
    <col min="7431" max="7431" width="12.28515625" customWidth="1"/>
    <col min="7432" max="7432" width="20" customWidth="1"/>
    <col min="7433" max="7433" width="12.85546875" customWidth="1"/>
    <col min="7434" max="7434" width="13.7109375" customWidth="1"/>
    <col min="7435" max="7435" width="12.42578125" customWidth="1"/>
    <col min="7681" max="7681" width="44.28515625" customWidth="1"/>
    <col min="7682" max="7682" width="16" customWidth="1"/>
    <col min="7683" max="7683" width="12.42578125" customWidth="1"/>
    <col min="7684" max="7684" width="12.85546875" customWidth="1"/>
    <col min="7685" max="7685" width="23.28515625" customWidth="1"/>
    <col min="7686" max="7686" width="12.7109375" customWidth="1"/>
    <col min="7687" max="7687" width="12.28515625" customWidth="1"/>
    <col min="7688" max="7688" width="20" customWidth="1"/>
    <col min="7689" max="7689" width="12.85546875" customWidth="1"/>
    <col min="7690" max="7690" width="13.7109375" customWidth="1"/>
    <col min="7691" max="7691" width="12.42578125" customWidth="1"/>
    <col min="7937" max="7937" width="44.28515625" customWidth="1"/>
    <col min="7938" max="7938" width="16" customWidth="1"/>
    <col min="7939" max="7939" width="12.42578125" customWidth="1"/>
    <col min="7940" max="7940" width="12.85546875" customWidth="1"/>
    <col min="7941" max="7941" width="23.28515625" customWidth="1"/>
    <col min="7942" max="7942" width="12.7109375" customWidth="1"/>
    <col min="7943" max="7943" width="12.28515625" customWidth="1"/>
    <col min="7944" max="7944" width="20" customWidth="1"/>
    <col min="7945" max="7945" width="12.85546875" customWidth="1"/>
    <col min="7946" max="7946" width="13.7109375" customWidth="1"/>
    <col min="7947" max="7947" width="12.42578125" customWidth="1"/>
    <col min="8193" max="8193" width="44.28515625" customWidth="1"/>
    <col min="8194" max="8194" width="16" customWidth="1"/>
    <col min="8195" max="8195" width="12.42578125" customWidth="1"/>
    <col min="8196" max="8196" width="12.85546875" customWidth="1"/>
    <col min="8197" max="8197" width="23.28515625" customWidth="1"/>
    <col min="8198" max="8198" width="12.7109375" customWidth="1"/>
    <col min="8199" max="8199" width="12.28515625" customWidth="1"/>
    <col min="8200" max="8200" width="20" customWidth="1"/>
    <col min="8201" max="8201" width="12.85546875" customWidth="1"/>
    <col min="8202" max="8202" width="13.7109375" customWidth="1"/>
    <col min="8203" max="8203" width="12.42578125" customWidth="1"/>
    <col min="8449" max="8449" width="44.28515625" customWidth="1"/>
    <col min="8450" max="8450" width="16" customWidth="1"/>
    <col min="8451" max="8451" width="12.42578125" customWidth="1"/>
    <col min="8452" max="8452" width="12.85546875" customWidth="1"/>
    <col min="8453" max="8453" width="23.28515625" customWidth="1"/>
    <col min="8454" max="8454" width="12.7109375" customWidth="1"/>
    <col min="8455" max="8455" width="12.28515625" customWidth="1"/>
    <col min="8456" max="8456" width="20" customWidth="1"/>
    <col min="8457" max="8457" width="12.85546875" customWidth="1"/>
    <col min="8458" max="8458" width="13.7109375" customWidth="1"/>
    <col min="8459" max="8459" width="12.42578125" customWidth="1"/>
    <col min="8705" max="8705" width="44.28515625" customWidth="1"/>
    <col min="8706" max="8706" width="16" customWidth="1"/>
    <col min="8707" max="8707" width="12.42578125" customWidth="1"/>
    <col min="8708" max="8708" width="12.85546875" customWidth="1"/>
    <col min="8709" max="8709" width="23.28515625" customWidth="1"/>
    <col min="8710" max="8710" width="12.7109375" customWidth="1"/>
    <col min="8711" max="8711" width="12.28515625" customWidth="1"/>
    <col min="8712" max="8712" width="20" customWidth="1"/>
    <col min="8713" max="8713" width="12.85546875" customWidth="1"/>
    <col min="8714" max="8714" width="13.7109375" customWidth="1"/>
    <col min="8715" max="8715" width="12.42578125" customWidth="1"/>
    <col min="8961" max="8961" width="44.28515625" customWidth="1"/>
    <col min="8962" max="8962" width="16" customWidth="1"/>
    <col min="8963" max="8963" width="12.42578125" customWidth="1"/>
    <col min="8964" max="8964" width="12.85546875" customWidth="1"/>
    <col min="8965" max="8965" width="23.28515625" customWidth="1"/>
    <col min="8966" max="8966" width="12.7109375" customWidth="1"/>
    <col min="8967" max="8967" width="12.28515625" customWidth="1"/>
    <col min="8968" max="8968" width="20" customWidth="1"/>
    <col min="8969" max="8969" width="12.85546875" customWidth="1"/>
    <col min="8970" max="8970" width="13.7109375" customWidth="1"/>
    <col min="8971" max="8971" width="12.42578125" customWidth="1"/>
    <col min="9217" max="9217" width="44.28515625" customWidth="1"/>
    <col min="9218" max="9218" width="16" customWidth="1"/>
    <col min="9219" max="9219" width="12.42578125" customWidth="1"/>
    <col min="9220" max="9220" width="12.85546875" customWidth="1"/>
    <col min="9221" max="9221" width="23.28515625" customWidth="1"/>
    <col min="9222" max="9222" width="12.7109375" customWidth="1"/>
    <col min="9223" max="9223" width="12.28515625" customWidth="1"/>
    <col min="9224" max="9224" width="20" customWidth="1"/>
    <col min="9225" max="9225" width="12.85546875" customWidth="1"/>
    <col min="9226" max="9226" width="13.7109375" customWidth="1"/>
    <col min="9227" max="9227" width="12.42578125" customWidth="1"/>
    <col min="9473" max="9473" width="44.28515625" customWidth="1"/>
    <col min="9474" max="9474" width="16" customWidth="1"/>
    <col min="9475" max="9475" width="12.42578125" customWidth="1"/>
    <col min="9476" max="9476" width="12.85546875" customWidth="1"/>
    <col min="9477" max="9477" width="23.28515625" customWidth="1"/>
    <col min="9478" max="9478" width="12.7109375" customWidth="1"/>
    <col min="9479" max="9479" width="12.28515625" customWidth="1"/>
    <col min="9480" max="9480" width="20" customWidth="1"/>
    <col min="9481" max="9481" width="12.85546875" customWidth="1"/>
    <col min="9482" max="9482" width="13.7109375" customWidth="1"/>
    <col min="9483" max="9483" width="12.42578125" customWidth="1"/>
    <col min="9729" max="9729" width="44.28515625" customWidth="1"/>
    <col min="9730" max="9730" width="16" customWidth="1"/>
    <col min="9731" max="9731" width="12.42578125" customWidth="1"/>
    <col min="9732" max="9732" width="12.85546875" customWidth="1"/>
    <col min="9733" max="9733" width="23.28515625" customWidth="1"/>
    <col min="9734" max="9734" width="12.7109375" customWidth="1"/>
    <col min="9735" max="9735" width="12.28515625" customWidth="1"/>
    <col min="9736" max="9736" width="20" customWidth="1"/>
    <col min="9737" max="9737" width="12.85546875" customWidth="1"/>
    <col min="9738" max="9738" width="13.7109375" customWidth="1"/>
    <col min="9739" max="9739" width="12.42578125" customWidth="1"/>
    <col min="9985" max="9985" width="44.28515625" customWidth="1"/>
    <col min="9986" max="9986" width="16" customWidth="1"/>
    <col min="9987" max="9987" width="12.42578125" customWidth="1"/>
    <col min="9988" max="9988" width="12.85546875" customWidth="1"/>
    <col min="9989" max="9989" width="23.28515625" customWidth="1"/>
    <col min="9990" max="9990" width="12.7109375" customWidth="1"/>
    <col min="9991" max="9991" width="12.28515625" customWidth="1"/>
    <col min="9992" max="9992" width="20" customWidth="1"/>
    <col min="9993" max="9993" width="12.85546875" customWidth="1"/>
    <col min="9994" max="9994" width="13.7109375" customWidth="1"/>
    <col min="9995" max="9995" width="12.42578125" customWidth="1"/>
    <col min="10241" max="10241" width="44.28515625" customWidth="1"/>
    <col min="10242" max="10242" width="16" customWidth="1"/>
    <col min="10243" max="10243" width="12.42578125" customWidth="1"/>
    <col min="10244" max="10244" width="12.85546875" customWidth="1"/>
    <col min="10245" max="10245" width="23.28515625" customWidth="1"/>
    <col min="10246" max="10246" width="12.7109375" customWidth="1"/>
    <col min="10247" max="10247" width="12.28515625" customWidth="1"/>
    <col min="10248" max="10248" width="20" customWidth="1"/>
    <col min="10249" max="10249" width="12.85546875" customWidth="1"/>
    <col min="10250" max="10250" width="13.7109375" customWidth="1"/>
    <col min="10251" max="10251" width="12.42578125" customWidth="1"/>
    <col min="10497" max="10497" width="44.28515625" customWidth="1"/>
    <col min="10498" max="10498" width="16" customWidth="1"/>
    <col min="10499" max="10499" width="12.42578125" customWidth="1"/>
    <col min="10500" max="10500" width="12.85546875" customWidth="1"/>
    <col min="10501" max="10501" width="23.28515625" customWidth="1"/>
    <col min="10502" max="10502" width="12.7109375" customWidth="1"/>
    <col min="10503" max="10503" width="12.28515625" customWidth="1"/>
    <col min="10504" max="10504" width="20" customWidth="1"/>
    <col min="10505" max="10505" width="12.85546875" customWidth="1"/>
    <col min="10506" max="10506" width="13.7109375" customWidth="1"/>
    <col min="10507" max="10507" width="12.42578125" customWidth="1"/>
    <col min="10753" max="10753" width="44.28515625" customWidth="1"/>
    <col min="10754" max="10754" width="16" customWidth="1"/>
    <col min="10755" max="10755" width="12.42578125" customWidth="1"/>
    <col min="10756" max="10756" width="12.85546875" customWidth="1"/>
    <col min="10757" max="10757" width="23.28515625" customWidth="1"/>
    <col min="10758" max="10758" width="12.7109375" customWidth="1"/>
    <col min="10759" max="10759" width="12.28515625" customWidth="1"/>
    <col min="10760" max="10760" width="20" customWidth="1"/>
    <col min="10761" max="10761" width="12.85546875" customWidth="1"/>
    <col min="10762" max="10762" width="13.7109375" customWidth="1"/>
    <col min="10763" max="10763" width="12.42578125" customWidth="1"/>
    <col min="11009" max="11009" width="44.28515625" customWidth="1"/>
    <col min="11010" max="11010" width="16" customWidth="1"/>
    <col min="11011" max="11011" width="12.42578125" customWidth="1"/>
    <col min="11012" max="11012" width="12.85546875" customWidth="1"/>
    <col min="11013" max="11013" width="23.28515625" customWidth="1"/>
    <col min="11014" max="11014" width="12.7109375" customWidth="1"/>
    <col min="11015" max="11015" width="12.28515625" customWidth="1"/>
    <col min="11016" max="11016" width="20" customWidth="1"/>
    <col min="11017" max="11017" width="12.85546875" customWidth="1"/>
    <col min="11018" max="11018" width="13.7109375" customWidth="1"/>
    <col min="11019" max="11019" width="12.42578125" customWidth="1"/>
    <col min="11265" max="11265" width="44.28515625" customWidth="1"/>
    <col min="11266" max="11266" width="16" customWidth="1"/>
    <col min="11267" max="11267" width="12.42578125" customWidth="1"/>
    <col min="11268" max="11268" width="12.85546875" customWidth="1"/>
    <col min="11269" max="11269" width="23.28515625" customWidth="1"/>
    <col min="11270" max="11270" width="12.7109375" customWidth="1"/>
    <col min="11271" max="11271" width="12.28515625" customWidth="1"/>
    <col min="11272" max="11272" width="20" customWidth="1"/>
    <col min="11273" max="11273" width="12.85546875" customWidth="1"/>
    <col min="11274" max="11274" width="13.7109375" customWidth="1"/>
    <col min="11275" max="11275" width="12.42578125" customWidth="1"/>
    <col min="11521" max="11521" width="44.28515625" customWidth="1"/>
    <col min="11522" max="11522" width="16" customWidth="1"/>
    <col min="11523" max="11523" width="12.42578125" customWidth="1"/>
    <col min="11524" max="11524" width="12.85546875" customWidth="1"/>
    <col min="11525" max="11525" width="23.28515625" customWidth="1"/>
    <col min="11526" max="11526" width="12.7109375" customWidth="1"/>
    <col min="11527" max="11527" width="12.28515625" customWidth="1"/>
    <col min="11528" max="11528" width="20" customWidth="1"/>
    <col min="11529" max="11529" width="12.85546875" customWidth="1"/>
    <col min="11530" max="11530" width="13.7109375" customWidth="1"/>
    <col min="11531" max="11531" width="12.42578125" customWidth="1"/>
    <col min="11777" max="11777" width="44.28515625" customWidth="1"/>
    <col min="11778" max="11778" width="16" customWidth="1"/>
    <col min="11779" max="11779" width="12.42578125" customWidth="1"/>
    <col min="11780" max="11780" width="12.85546875" customWidth="1"/>
    <col min="11781" max="11781" width="23.28515625" customWidth="1"/>
    <col min="11782" max="11782" width="12.7109375" customWidth="1"/>
    <col min="11783" max="11783" width="12.28515625" customWidth="1"/>
    <col min="11784" max="11784" width="20" customWidth="1"/>
    <col min="11785" max="11785" width="12.85546875" customWidth="1"/>
    <col min="11786" max="11786" width="13.7109375" customWidth="1"/>
    <col min="11787" max="11787" width="12.42578125" customWidth="1"/>
    <col min="12033" max="12033" width="44.28515625" customWidth="1"/>
    <col min="12034" max="12034" width="16" customWidth="1"/>
    <col min="12035" max="12035" width="12.42578125" customWidth="1"/>
    <col min="12036" max="12036" width="12.85546875" customWidth="1"/>
    <col min="12037" max="12037" width="23.28515625" customWidth="1"/>
    <col min="12038" max="12038" width="12.7109375" customWidth="1"/>
    <col min="12039" max="12039" width="12.28515625" customWidth="1"/>
    <col min="12040" max="12040" width="20" customWidth="1"/>
    <col min="12041" max="12041" width="12.85546875" customWidth="1"/>
    <col min="12042" max="12042" width="13.7109375" customWidth="1"/>
    <col min="12043" max="12043" width="12.42578125" customWidth="1"/>
    <col min="12289" max="12289" width="44.28515625" customWidth="1"/>
    <col min="12290" max="12290" width="16" customWidth="1"/>
    <col min="12291" max="12291" width="12.42578125" customWidth="1"/>
    <col min="12292" max="12292" width="12.85546875" customWidth="1"/>
    <col min="12293" max="12293" width="23.28515625" customWidth="1"/>
    <col min="12294" max="12294" width="12.7109375" customWidth="1"/>
    <col min="12295" max="12295" width="12.28515625" customWidth="1"/>
    <col min="12296" max="12296" width="20" customWidth="1"/>
    <col min="12297" max="12297" width="12.85546875" customWidth="1"/>
    <col min="12298" max="12298" width="13.7109375" customWidth="1"/>
    <col min="12299" max="12299" width="12.42578125" customWidth="1"/>
    <col min="12545" max="12545" width="44.28515625" customWidth="1"/>
    <col min="12546" max="12546" width="16" customWidth="1"/>
    <col min="12547" max="12547" width="12.42578125" customWidth="1"/>
    <col min="12548" max="12548" width="12.85546875" customWidth="1"/>
    <col min="12549" max="12549" width="23.28515625" customWidth="1"/>
    <col min="12550" max="12550" width="12.7109375" customWidth="1"/>
    <col min="12551" max="12551" width="12.28515625" customWidth="1"/>
    <col min="12552" max="12552" width="20" customWidth="1"/>
    <col min="12553" max="12553" width="12.85546875" customWidth="1"/>
    <col min="12554" max="12554" width="13.7109375" customWidth="1"/>
    <col min="12555" max="12555" width="12.42578125" customWidth="1"/>
    <col min="12801" max="12801" width="44.28515625" customWidth="1"/>
    <col min="12802" max="12802" width="16" customWidth="1"/>
    <col min="12803" max="12803" width="12.42578125" customWidth="1"/>
    <col min="12804" max="12804" width="12.85546875" customWidth="1"/>
    <col min="12805" max="12805" width="23.28515625" customWidth="1"/>
    <col min="12806" max="12806" width="12.7109375" customWidth="1"/>
    <col min="12807" max="12807" width="12.28515625" customWidth="1"/>
    <col min="12808" max="12808" width="20" customWidth="1"/>
    <col min="12809" max="12809" width="12.85546875" customWidth="1"/>
    <col min="12810" max="12810" width="13.7109375" customWidth="1"/>
    <col min="12811" max="12811" width="12.42578125" customWidth="1"/>
    <col min="13057" max="13057" width="44.28515625" customWidth="1"/>
    <col min="13058" max="13058" width="16" customWidth="1"/>
    <col min="13059" max="13059" width="12.42578125" customWidth="1"/>
    <col min="13060" max="13060" width="12.85546875" customWidth="1"/>
    <col min="13061" max="13061" width="23.28515625" customWidth="1"/>
    <col min="13062" max="13062" width="12.7109375" customWidth="1"/>
    <col min="13063" max="13063" width="12.28515625" customWidth="1"/>
    <col min="13064" max="13064" width="20" customWidth="1"/>
    <col min="13065" max="13065" width="12.85546875" customWidth="1"/>
    <col min="13066" max="13066" width="13.7109375" customWidth="1"/>
    <col min="13067" max="13067" width="12.42578125" customWidth="1"/>
    <col min="13313" max="13313" width="44.28515625" customWidth="1"/>
    <col min="13314" max="13314" width="16" customWidth="1"/>
    <col min="13315" max="13315" width="12.42578125" customWidth="1"/>
    <col min="13316" max="13316" width="12.85546875" customWidth="1"/>
    <col min="13317" max="13317" width="23.28515625" customWidth="1"/>
    <col min="13318" max="13318" width="12.7109375" customWidth="1"/>
    <col min="13319" max="13319" width="12.28515625" customWidth="1"/>
    <col min="13320" max="13320" width="20" customWidth="1"/>
    <col min="13321" max="13321" width="12.85546875" customWidth="1"/>
    <col min="13322" max="13322" width="13.7109375" customWidth="1"/>
    <col min="13323" max="13323" width="12.42578125" customWidth="1"/>
    <col min="13569" max="13569" width="44.28515625" customWidth="1"/>
    <col min="13570" max="13570" width="16" customWidth="1"/>
    <col min="13571" max="13571" width="12.42578125" customWidth="1"/>
    <col min="13572" max="13572" width="12.85546875" customWidth="1"/>
    <col min="13573" max="13573" width="23.28515625" customWidth="1"/>
    <col min="13574" max="13574" width="12.7109375" customWidth="1"/>
    <col min="13575" max="13575" width="12.28515625" customWidth="1"/>
    <col min="13576" max="13576" width="20" customWidth="1"/>
    <col min="13577" max="13577" width="12.85546875" customWidth="1"/>
    <col min="13578" max="13578" width="13.7109375" customWidth="1"/>
    <col min="13579" max="13579" width="12.42578125" customWidth="1"/>
    <col min="13825" max="13825" width="44.28515625" customWidth="1"/>
    <col min="13826" max="13826" width="16" customWidth="1"/>
    <col min="13827" max="13827" width="12.42578125" customWidth="1"/>
    <col min="13828" max="13828" width="12.85546875" customWidth="1"/>
    <col min="13829" max="13829" width="23.28515625" customWidth="1"/>
    <col min="13830" max="13830" width="12.7109375" customWidth="1"/>
    <col min="13831" max="13831" width="12.28515625" customWidth="1"/>
    <col min="13832" max="13832" width="20" customWidth="1"/>
    <col min="13833" max="13833" width="12.85546875" customWidth="1"/>
    <col min="13834" max="13834" width="13.7109375" customWidth="1"/>
    <col min="13835" max="13835" width="12.42578125" customWidth="1"/>
    <col min="14081" max="14081" width="44.28515625" customWidth="1"/>
    <col min="14082" max="14082" width="16" customWidth="1"/>
    <col min="14083" max="14083" width="12.42578125" customWidth="1"/>
    <col min="14084" max="14084" width="12.85546875" customWidth="1"/>
    <col min="14085" max="14085" width="23.28515625" customWidth="1"/>
    <col min="14086" max="14086" width="12.7109375" customWidth="1"/>
    <col min="14087" max="14087" width="12.28515625" customWidth="1"/>
    <col min="14088" max="14088" width="20" customWidth="1"/>
    <col min="14089" max="14089" width="12.85546875" customWidth="1"/>
    <col min="14090" max="14090" width="13.7109375" customWidth="1"/>
    <col min="14091" max="14091" width="12.42578125" customWidth="1"/>
    <col min="14337" max="14337" width="44.28515625" customWidth="1"/>
    <col min="14338" max="14338" width="16" customWidth="1"/>
    <col min="14339" max="14339" width="12.42578125" customWidth="1"/>
    <col min="14340" max="14340" width="12.85546875" customWidth="1"/>
    <col min="14341" max="14341" width="23.28515625" customWidth="1"/>
    <col min="14342" max="14342" width="12.7109375" customWidth="1"/>
    <col min="14343" max="14343" width="12.28515625" customWidth="1"/>
    <col min="14344" max="14344" width="20" customWidth="1"/>
    <col min="14345" max="14345" width="12.85546875" customWidth="1"/>
    <col min="14346" max="14346" width="13.7109375" customWidth="1"/>
    <col min="14347" max="14347" width="12.42578125" customWidth="1"/>
    <col min="14593" max="14593" width="44.28515625" customWidth="1"/>
    <col min="14594" max="14594" width="16" customWidth="1"/>
    <col min="14595" max="14595" width="12.42578125" customWidth="1"/>
    <col min="14596" max="14596" width="12.85546875" customWidth="1"/>
    <col min="14597" max="14597" width="23.28515625" customWidth="1"/>
    <col min="14598" max="14598" width="12.7109375" customWidth="1"/>
    <col min="14599" max="14599" width="12.28515625" customWidth="1"/>
    <col min="14600" max="14600" width="20" customWidth="1"/>
    <col min="14601" max="14601" width="12.85546875" customWidth="1"/>
    <col min="14602" max="14602" width="13.7109375" customWidth="1"/>
    <col min="14603" max="14603" width="12.42578125" customWidth="1"/>
    <col min="14849" max="14849" width="44.28515625" customWidth="1"/>
    <col min="14850" max="14850" width="16" customWidth="1"/>
    <col min="14851" max="14851" width="12.42578125" customWidth="1"/>
    <col min="14852" max="14852" width="12.85546875" customWidth="1"/>
    <col min="14853" max="14853" width="23.28515625" customWidth="1"/>
    <col min="14854" max="14854" width="12.7109375" customWidth="1"/>
    <col min="14855" max="14855" width="12.28515625" customWidth="1"/>
    <col min="14856" max="14856" width="20" customWidth="1"/>
    <col min="14857" max="14857" width="12.85546875" customWidth="1"/>
    <col min="14858" max="14858" width="13.7109375" customWidth="1"/>
    <col min="14859" max="14859" width="12.42578125" customWidth="1"/>
    <col min="15105" max="15105" width="44.28515625" customWidth="1"/>
    <col min="15106" max="15106" width="16" customWidth="1"/>
    <col min="15107" max="15107" width="12.42578125" customWidth="1"/>
    <col min="15108" max="15108" width="12.85546875" customWidth="1"/>
    <col min="15109" max="15109" width="23.28515625" customWidth="1"/>
    <col min="15110" max="15110" width="12.7109375" customWidth="1"/>
    <col min="15111" max="15111" width="12.28515625" customWidth="1"/>
    <col min="15112" max="15112" width="20" customWidth="1"/>
    <col min="15113" max="15113" width="12.85546875" customWidth="1"/>
    <col min="15114" max="15114" width="13.7109375" customWidth="1"/>
    <col min="15115" max="15115" width="12.42578125" customWidth="1"/>
    <col min="15361" max="15361" width="44.28515625" customWidth="1"/>
    <col min="15362" max="15362" width="16" customWidth="1"/>
    <col min="15363" max="15363" width="12.42578125" customWidth="1"/>
    <col min="15364" max="15364" width="12.85546875" customWidth="1"/>
    <col min="15365" max="15365" width="23.28515625" customWidth="1"/>
    <col min="15366" max="15366" width="12.7109375" customWidth="1"/>
    <col min="15367" max="15367" width="12.28515625" customWidth="1"/>
    <col min="15368" max="15368" width="20" customWidth="1"/>
    <col min="15369" max="15369" width="12.85546875" customWidth="1"/>
    <col min="15370" max="15370" width="13.7109375" customWidth="1"/>
    <col min="15371" max="15371" width="12.42578125" customWidth="1"/>
    <col min="15617" max="15617" width="44.28515625" customWidth="1"/>
    <col min="15618" max="15618" width="16" customWidth="1"/>
    <col min="15619" max="15619" width="12.42578125" customWidth="1"/>
    <col min="15620" max="15620" width="12.85546875" customWidth="1"/>
    <col min="15621" max="15621" width="23.28515625" customWidth="1"/>
    <col min="15622" max="15622" width="12.7109375" customWidth="1"/>
    <col min="15623" max="15623" width="12.28515625" customWidth="1"/>
    <col min="15624" max="15624" width="20" customWidth="1"/>
    <col min="15625" max="15625" width="12.85546875" customWidth="1"/>
    <col min="15626" max="15626" width="13.7109375" customWidth="1"/>
    <col min="15627" max="15627" width="12.42578125" customWidth="1"/>
    <col min="15873" max="15873" width="44.28515625" customWidth="1"/>
    <col min="15874" max="15874" width="16" customWidth="1"/>
    <col min="15875" max="15875" width="12.42578125" customWidth="1"/>
    <col min="15876" max="15876" width="12.85546875" customWidth="1"/>
    <col min="15877" max="15877" width="23.28515625" customWidth="1"/>
    <col min="15878" max="15878" width="12.7109375" customWidth="1"/>
    <col min="15879" max="15879" width="12.28515625" customWidth="1"/>
    <col min="15880" max="15880" width="20" customWidth="1"/>
    <col min="15881" max="15881" width="12.85546875" customWidth="1"/>
    <col min="15882" max="15882" width="13.7109375" customWidth="1"/>
    <col min="15883" max="15883" width="12.42578125" customWidth="1"/>
    <col min="16129" max="16129" width="44.28515625" customWidth="1"/>
    <col min="16130" max="16130" width="16" customWidth="1"/>
    <col min="16131" max="16131" width="12.42578125" customWidth="1"/>
    <col min="16132" max="16132" width="12.85546875" customWidth="1"/>
    <col min="16133" max="16133" width="23.28515625" customWidth="1"/>
    <col min="16134" max="16134" width="12.7109375" customWidth="1"/>
    <col min="16135" max="16135" width="12.28515625" customWidth="1"/>
    <col min="16136" max="16136" width="20" customWidth="1"/>
    <col min="16137" max="16137" width="12.85546875" customWidth="1"/>
    <col min="16138" max="16138" width="13.7109375" customWidth="1"/>
    <col min="16139" max="16139" width="12.42578125" customWidth="1"/>
  </cols>
  <sheetData>
    <row r="1" spans="1:9" ht="18" x14ac:dyDescent="0.25">
      <c r="A1" s="289" t="s">
        <v>79</v>
      </c>
      <c r="B1" s="289"/>
      <c r="C1" s="289"/>
      <c r="D1" s="289"/>
      <c r="E1" s="289"/>
      <c r="F1" s="289"/>
      <c r="G1" s="289"/>
    </row>
    <row r="2" spans="1:9" ht="18.75" thickBot="1" x14ac:dyDescent="0.3">
      <c r="A2" s="270"/>
      <c r="B2" s="270"/>
      <c r="C2" s="270"/>
      <c r="D2" s="270"/>
      <c r="E2" s="270"/>
      <c r="F2" s="270"/>
      <c r="G2" s="270"/>
    </row>
    <row r="3" spans="1:9" ht="53.25" customHeight="1" thickBot="1" x14ac:dyDescent="0.3">
      <c r="A3" s="290" t="s">
        <v>177</v>
      </c>
      <c r="B3" s="291"/>
      <c r="C3" s="291"/>
      <c r="D3" s="291"/>
      <c r="E3" s="291"/>
      <c r="F3" s="291"/>
      <c r="G3" s="291"/>
      <c r="H3" s="291"/>
      <c r="I3" s="292"/>
    </row>
    <row r="4" spans="1:9" ht="15.75" customHeight="1" thickBot="1" x14ac:dyDescent="0.3">
      <c r="A4" s="271"/>
      <c r="B4" s="272"/>
      <c r="C4" s="272"/>
      <c r="D4" s="272"/>
      <c r="E4" s="272"/>
      <c r="F4" s="272"/>
      <c r="G4" s="272"/>
      <c r="H4" s="272"/>
      <c r="I4" s="272"/>
    </row>
    <row r="5" spans="1:9" ht="73.5" customHeight="1" thickBot="1" x14ac:dyDescent="0.3">
      <c r="A5" s="290" t="s">
        <v>181</v>
      </c>
      <c r="B5" s="291"/>
      <c r="C5" s="291"/>
      <c r="D5" s="291"/>
      <c r="E5" s="291"/>
      <c r="F5" s="291"/>
      <c r="G5" s="291"/>
      <c r="H5" s="291"/>
      <c r="I5" s="292"/>
    </row>
    <row r="6" spans="1:9" ht="16.5" customHeight="1" thickBot="1" x14ac:dyDescent="0.3">
      <c r="A6" s="271"/>
      <c r="B6" s="272"/>
      <c r="C6" s="272"/>
      <c r="D6" s="272"/>
      <c r="E6" s="272"/>
      <c r="F6" s="272"/>
      <c r="G6" s="272"/>
      <c r="H6" s="272"/>
      <c r="I6" s="272"/>
    </row>
    <row r="7" spans="1:9" ht="201" customHeight="1" thickBot="1" x14ac:dyDescent="0.3">
      <c r="A7" s="290" t="s">
        <v>178</v>
      </c>
      <c r="B7" s="293"/>
      <c r="C7" s="293"/>
      <c r="D7" s="293"/>
      <c r="E7" s="293"/>
      <c r="F7" s="293"/>
      <c r="G7" s="293"/>
      <c r="H7" s="293"/>
      <c r="I7" s="294"/>
    </row>
    <row r="8" spans="1:9" ht="18.75" customHeight="1" thickBot="1" x14ac:dyDescent="0.3">
      <c r="A8" s="271"/>
      <c r="B8" s="271"/>
      <c r="C8" s="271"/>
      <c r="D8" s="271"/>
      <c r="E8" s="271"/>
      <c r="F8" s="271"/>
      <c r="G8" s="271"/>
      <c r="H8" s="271"/>
      <c r="I8" s="271"/>
    </row>
    <row r="9" spans="1:9" ht="66.75" customHeight="1" thickBot="1" x14ac:dyDescent="0.3">
      <c r="A9" s="290" t="s">
        <v>179</v>
      </c>
      <c r="B9" s="293"/>
      <c r="C9" s="293"/>
      <c r="D9" s="293"/>
      <c r="E9" s="293"/>
      <c r="F9" s="293"/>
      <c r="G9" s="293"/>
      <c r="H9" s="293"/>
      <c r="I9" s="294"/>
    </row>
  </sheetData>
  <mergeCells count="5">
    <mergeCell ref="A1:G1"/>
    <mergeCell ref="A3:I3"/>
    <mergeCell ref="A5:I5"/>
    <mergeCell ref="A7:I7"/>
    <mergeCell ref="A9:I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214"/>
  <sheetViews>
    <sheetView topLeftCell="B1" zoomScale="85" zoomScaleNormal="85" workbookViewId="0">
      <selection activeCell="B202" sqref="B202"/>
    </sheetView>
  </sheetViews>
  <sheetFormatPr baseColWidth="10" defaultRowHeight="15" x14ac:dyDescent="0.25"/>
  <cols>
    <col min="2" max="2" width="42" customWidth="1"/>
    <col min="3" max="3" width="16" customWidth="1"/>
    <col min="4" max="4" width="12.42578125" customWidth="1"/>
    <col min="5" max="5" width="12.85546875" customWidth="1"/>
    <col min="6" max="6" width="19.140625" customWidth="1"/>
    <col min="7" max="7" width="12.7109375" customWidth="1"/>
    <col min="8" max="8" width="12.28515625" customWidth="1"/>
    <col min="9" max="9" width="19.28515625" customWidth="1"/>
    <col min="10" max="10" width="12.85546875" customWidth="1"/>
    <col min="11" max="11" width="13.7109375" customWidth="1"/>
    <col min="12" max="12" width="12.42578125" customWidth="1"/>
  </cols>
  <sheetData>
    <row r="2" spans="2:12" ht="18" x14ac:dyDescent="0.25">
      <c r="B2" s="172" t="s">
        <v>119</v>
      </c>
      <c r="D2" s="173"/>
      <c r="E2" s="173"/>
      <c r="F2" s="173"/>
      <c r="G2" s="181"/>
      <c r="H2" s="181"/>
      <c r="I2" s="181"/>
    </row>
    <row r="3" spans="2:12" ht="15.75" thickBot="1" x14ac:dyDescent="0.3">
      <c r="D3" s="174"/>
      <c r="E3" s="175"/>
      <c r="F3" s="174"/>
      <c r="G3" s="177"/>
      <c r="H3" s="178"/>
      <c r="I3" s="179"/>
      <c r="J3" s="183"/>
      <c r="K3" s="183"/>
      <c r="L3" s="183"/>
    </row>
    <row r="4" spans="2:12" ht="71.25" customHeight="1" x14ac:dyDescent="0.25">
      <c r="B4" s="354" t="s">
        <v>172</v>
      </c>
      <c r="C4" s="355"/>
      <c r="D4" s="355"/>
      <c r="E4" s="355"/>
      <c r="F4" s="355"/>
      <c r="G4" s="355"/>
      <c r="H4" s="356"/>
      <c r="I4" s="180"/>
      <c r="J4" s="181"/>
      <c r="K4" s="181"/>
      <c r="L4" s="181"/>
    </row>
    <row r="5" spans="2:12" ht="18.75" customHeight="1" x14ac:dyDescent="0.25">
      <c r="B5" s="357"/>
      <c r="C5" s="358"/>
      <c r="D5" s="358"/>
      <c r="E5" s="358"/>
      <c r="F5" s="358"/>
      <c r="G5" s="358"/>
      <c r="H5" s="359"/>
      <c r="I5" s="176"/>
      <c r="J5" s="177"/>
      <c r="K5" s="178"/>
      <c r="L5" s="179"/>
    </row>
    <row r="6" spans="2:12" ht="18.75" customHeight="1" x14ac:dyDescent="0.25">
      <c r="B6" s="357"/>
      <c r="C6" s="358"/>
      <c r="D6" s="358"/>
      <c r="E6" s="358"/>
      <c r="F6" s="358"/>
      <c r="G6" s="358"/>
      <c r="H6" s="359"/>
      <c r="I6" s="180"/>
      <c r="J6" s="177"/>
      <c r="K6" s="178"/>
      <c r="L6" s="180"/>
    </row>
    <row r="7" spans="2:12" ht="27.75" customHeight="1" x14ac:dyDescent="0.25">
      <c r="B7" s="357"/>
      <c r="C7" s="358"/>
      <c r="D7" s="358"/>
      <c r="E7" s="358"/>
      <c r="F7" s="358"/>
      <c r="G7" s="358"/>
      <c r="H7" s="359"/>
      <c r="I7" s="180"/>
      <c r="J7" s="240"/>
      <c r="K7" s="176"/>
      <c r="L7" s="176"/>
    </row>
    <row r="8" spans="2:12" ht="32.25" customHeight="1" x14ac:dyDescent="0.25">
      <c r="B8" s="357"/>
      <c r="C8" s="358"/>
      <c r="D8" s="358"/>
      <c r="E8" s="358"/>
      <c r="F8" s="358"/>
      <c r="G8" s="358"/>
      <c r="H8" s="359"/>
      <c r="I8" s="180"/>
      <c r="J8" s="177"/>
      <c r="K8" s="178"/>
      <c r="L8" s="180"/>
    </row>
    <row r="9" spans="2:12" x14ac:dyDescent="0.25">
      <c r="B9" s="357"/>
      <c r="C9" s="358"/>
      <c r="D9" s="358"/>
      <c r="E9" s="358"/>
      <c r="F9" s="358"/>
      <c r="G9" s="358"/>
      <c r="H9" s="359"/>
      <c r="J9" s="177"/>
      <c r="K9" s="178"/>
      <c r="L9" s="180"/>
    </row>
    <row r="10" spans="2:12" x14ac:dyDescent="0.25">
      <c r="B10" s="357"/>
      <c r="C10" s="358"/>
      <c r="D10" s="358"/>
      <c r="E10" s="358"/>
      <c r="F10" s="358"/>
      <c r="G10" s="358"/>
      <c r="H10" s="359"/>
      <c r="J10" s="177"/>
      <c r="K10" s="178"/>
      <c r="L10" s="180"/>
    </row>
    <row r="11" spans="2:12" x14ac:dyDescent="0.25">
      <c r="B11" s="357"/>
      <c r="C11" s="358"/>
      <c r="D11" s="358"/>
      <c r="E11" s="358"/>
      <c r="F11" s="358"/>
      <c r="G11" s="358"/>
      <c r="H11" s="359"/>
      <c r="J11" s="183"/>
      <c r="K11" s="183"/>
      <c r="L11" s="183"/>
    </row>
    <row r="12" spans="2:12" x14ac:dyDescent="0.25">
      <c r="B12" s="357"/>
      <c r="C12" s="358"/>
      <c r="D12" s="358"/>
      <c r="E12" s="358"/>
      <c r="F12" s="358"/>
      <c r="G12" s="358"/>
      <c r="H12" s="359"/>
      <c r="I12" s="183"/>
      <c r="J12" s="183"/>
    </row>
    <row r="13" spans="2:12" x14ac:dyDescent="0.25">
      <c r="B13" s="357"/>
      <c r="C13" s="358"/>
      <c r="D13" s="358"/>
      <c r="E13" s="358"/>
      <c r="F13" s="358"/>
      <c r="G13" s="358"/>
      <c r="H13" s="359"/>
      <c r="I13" s="183"/>
      <c r="J13" s="185"/>
    </row>
    <row r="14" spans="2:12" x14ac:dyDescent="0.25">
      <c r="B14" s="357"/>
      <c r="C14" s="358"/>
      <c r="D14" s="358"/>
      <c r="E14" s="358"/>
      <c r="F14" s="358"/>
      <c r="G14" s="358"/>
      <c r="H14" s="359"/>
      <c r="I14" s="183"/>
      <c r="J14" s="183"/>
    </row>
    <row r="15" spans="2:12" x14ac:dyDescent="0.25">
      <c r="B15" s="357"/>
      <c r="C15" s="358"/>
      <c r="D15" s="358"/>
      <c r="E15" s="358"/>
      <c r="F15" s="358"/>
      <c r="G15" s="358"/>
      <c r="H15" s="359"/>
      <c r="I15" s="183"/>
      <c r="J15" s="183"/>
      <c r="K15" s="185"/>
    </row>
    <row r="16" spans="2:12" x14ac:dyDescent="0.25">
      <c r="B16" s="357"/>
      <c r="C16" s="358"/>
      <c r="D16" s="358"/>
      <c r="E16" s="358"/>
      <c r="F16" s="358"/>
      <c r="G16" s="358"/>
      <c r="H16" s="359"/>
      <c r="I16" s="183"/>
      <c r="J16" s="183"/>
    </row>
    <row r="17" spans="1:20" x14ac:dyDescent="0.25">
      <c r="B17" s="357"/>
      <c r="C17" s="358"/>
      <c r="D17" s="358"/>
      <c r="E17" s="358"/>
      <c r="F17" s="358"/>
      <c r="G17" s="358"/>
      <c r="H17" s="359"/>
      <c r="I17" s="183"/>
      <c r="J17" s="183"/>
    </row>
    <row r="18" spans="1:20" x14ac:dyDescent="0.25">
      <c r="B18" s="357"/>
      <c r="C18" s="358"/>
      <c r="D18" s="358"/>
      <c r="E18" s="358"/>
      <c r="F18" s="358"/>
      <c r="G18" s="358"/>
      <c r="H18" s="359"/>
      <c r="I18" s="183"/>
      <c r="J18" s="183"/>
    </row>
    <row r="19" spans="1:20" x14ac:dyDescent="0.25">
      <c r="B19" s="357"/>
      <c r="C19" s="358"/>
      <c r="D19" s="358"/>
      <c r="E19" s="358"/>
      <c r="F19" s="358"/>
      <c r="G19" s="358"/>
      <c r="H19" s="359"/>
      <c r="I19" s="183"/>
      <c r="J19" s="183"/>
    </row>
    <row r="20" spans="1:20" ht="24" customHeight="1" x14ac:dyDescent="0.25">
      <c r="B20" s="357"/>
      <c r="C20" s="358"/>
      <c r="D20" s="358"/>
      <c r="E20" s="358"/>
      <c r="F20" s="358"/>
      <c r="G20" s="358"/>
      <c r="H20" s="359"/>
      <c r="I20" s="183"/>
      <c r="J20" s="183"/>
    </row>
    <row r="21" spans="1:20" ht="24.75" customHeight="1" x14ac:dyDescent="0.25">
      <c r="B21" s="357"/>
      <c r="C21" s="358"/>
      <c r="D21" s="358"/>
      <c r="E21" s="358"/>
      <c r="F21" s="358"/>
      <c r="G21" s="358"/>
      <c r="H21" s="359"/>
      <c r="I21" s="183"/>
      <c r="J21" s="183"/>
    </row>
    <row r="22" spans="1:20" ht="44.25" customHeight="1" thickBot="1" x14ac:dyDescent="0.3">
      <c r="B22" s="360"/>
      <c r="C22" s="361"/>
      <c r="D22" s="361"/>
      <c r="E22" s="361"/>
      <c r="F22" s="361"/>
      <c r="G22" s="361"/>
      <c r="H22" s="362"/>
      <c r="I22" s="183"/>
      <c r="J22" s="183"/>
    </row>
    <row r="23" spans="1:20" ht="20.25" x14ac:dyDescent="0.3">
      <c r="A23" s="1"/>
      <c r="B23" s="1"/>
      <c r="C23" s="2"/>
      <c r="D23" s="2"/>
      <c r="E23" s="2"/>
      <c r="F23" s="2"/>
      <c r="G23" s="2"/>
      <c r="H23" s="2"/>
      <c r="I23" s="2"/>
      <c r="J23" s="235"/>
      <c r="K23" s="2"/>
      <c r="L23" s="2"/>
      <c r="M23" s="2"/>
      <c r="N23" s="1"/>
      <c r="O23" s="1"/>
      <c r="P23" s="1"/>
      <c r="Q23" s="1"/>
      <c r="R23" s="1"/>
      <c r="S23" s="1"/>
      <c r="T23" s="1"/>
    </row>
    <row r="24" spans="1:20" ht="21" thickBot="1" x14ac:dyDescent="0.35">
      <c r="A24" s="1"/>
      <c r="B24" s="374" t="s">
        <v>126</v>
      </c>
      <c r="C24" s="374"/>
      <c r="D24" s="374"/>
      <c r="E24" s="2"/>
      <c r="F24" s="2"/>
      <c r="G24" s="2"/>
      <c r="H24" s="2"/>
      <c r="I24" s="2"/>
      <c r="J24" s="235"/>
      <c r="K24" s="2"/>
      <c r="L24" s="2"/>
      <c r="M24" s="2"/>
      <c r="N24" s="1"/>
      <c r="O24" s="1"/>
      <c r="P24" s="1"/>
      <c r="Q24" s="1"/>
      <c r="R24" s="1"/>
      <c r="S24" s="1"/>
      <c r="T24" s="1"/>
    </row>
    <row r="25" spans="1:20" ht="30" customHeight="1" x14ac:dyDescent="0.25">
      <c r="A25" s="323"/>
      <c r="B25" s="4" t="s">
        <v>0</v>
      </c>
      <c r="C25" s="5" t="s">
        <v>1</v>
      </c>
      <c r="D25" s="6" t="s">
        <v>2</v>
      </c>
      <c r="E25" s="7"/>
      <c r="F25" s="365" t="s">
        <v>113</v>
      </c>
      <c r="G25" s="366"/>
      <c r="H25" s="366"/>
      <c r="I25" s="366"/>
      <c r="J25" s="367"/>
      <c r="K25" s="191"/>
      <c r="L25" s="7"/>
      <c r="M25" s="7"/>
      <c r="N25" s="8"/>
      <c r="O25" s="8"/>
      <c r="P25" s="8"/>
      <c r="Q25" s="8"/>
      <c r="R25" s="8"/>
      <c r="S25" s="8"/>
      <c r="T25" s="8"/>
    </row>
    <row r="26" spans="1:20" x14ac:dyDescent="0.25">
      <c r="A26" s="323"/>
      <c r="B26" s="9" t="s">
        <v>3</v>
      </c>
      <c r="C26" s="104">
        <v>50000</v>
      </c>
      <c r="D26" s="10"/>
      <c r="E26" s="11"/>
      <c r="F26" s="368"/>
      <c r="G26" s="369"/>
      <c r="H26" s="369"/>
      <c r="I26" s="369"/>
      <c r="J26" s="370"/>
      <c r="K26" s="38"/>
      <c r="L26" s="11"/>
      <c r="M26" s="11"/>
      <c r="N26" s="12"/>
      <c r="O26" s="12"/>
      <c r="P26" s="12"/>
      <c r="Q26" s="12"/>
      <c r="R26" s="12"/>
      <c r="S26" s="12"/>
      <c r="T26" s="12"/>
    </row>
    <row r="27" spans="1:20" ht="15.75" thickBot="1" x14ac:dyDescent="0.3">
      <c r="A27" s="323"/>
      <c r="B27" s="9" t="s">
        <v>4</v>
      </c>
      <c r="C27" s="104">
        <v>140000</v>
      </c>
      <c r="D27" s="13">
        <v>25</v>
      </c>
      <c r="E27" s="11"/>
      <c r="F27" s="371"/>
      <c r="G27" s="372"/>
      <c r="H27" s="372"/>
      <c r="I27" s="372"/>
      <c r="J27" s="373"/>
      <c r="K27" s="11"/>
      <c r="L27" s="11"/>
      <c r="M27" s="11"/>
      <c r="N27" s="12"/>
      <c r="O27" s="12"/>
      <c r="P27" s="12"/>
      <c r="Q27" s="12"/>
      <c r="R27" s="12"/>
      <c r="S27" s="12"/>
      <c r="T27" s="12"/>
    </row>
    <row r="28" spans="1:20" x14ac:dyDescent="0.25">
      <c r="A28" s="323"/>
      <c r="B28" s="9" t="s">
        <v>5</v>
      </c>
      <c r="C28" s="39"/>
      <c r="D28" s="13"/>
      <c r="E28" s="11"/>
      <c r="F28" s="190"/>
      <c r="G28" s="190"/>
      <c r="H28" s="190"/>
      <c r="I28" s="190"/>
      <c r="J28" s="190"/>
      <c r="K28" s="11"/>
      <c r="L28" s="11"/>
      <c r="M28" s="11"/>
      <c r="N28" s="12"/>
      <c r="O28" s="12"/>
      <c r="P28" s="12"/>
      <c r="Q28" s="12"/>
      <c r="R28" s="12"/>
      <c r="S28" s="12"/>
      <c r="T28" s="12"/>
    </row>
    <row r="29" spans="1:20" x14ac:dyDescent="0.25">
      <c r="A29" s="323"/>
      <c r="B29" s="236" t="s">
        <v>6</v>
      </c>
      <c r="C29" s="104">
        <v>150000</v>
      </c>
      <c r="D29" s="13">
        <v>10</v>
      </c>
      <c r="E29" s="11"/>
      <c r="F29" s="189"/>
      <c r="G29" s="189"/>
      <c r="H29" s="189"/>
      <c r="I29" s="189"/>
      <c r="J29" s="189"/>
      <c r="K29" s="11"/>
      <c r="L29" s="11"/>
      <c r="M29" s="11"/>
      <c r="N29" s="12"/>
      <c r="O29" s="12"/>
      <c r="P29" s="12"/>
      <c r="Q29" s="12"/>
      <c r="R29" s="12"/>
      <c r="S29" s="12"/>
      <c r="T29" s="12"/>
    </row>
    <row r="30" spans="1:20" x14ac:dyDescent="0.25">
      <c r="A30" s="323"/>
      <c r="B30" s="236" t="s">
        <v>7</v>
      </c>
      <c r="C30" s="104">
        <v>40000</v>
      </c>
      <c r="D30" s="13">
        <v>10</v>
      </c>
      <c r="E30" s="11"/>
      <c r="F30" s="189"/>
      <c r="G30" s="189"/>
      <c r="H30" s="189"/>
      <c r="I30" s="189"/>
      <c r="J30" s="189"/>
      <c r="K30" s="11"/>
      <c r="L30" s="11"/>
      <c r="M30" s="11"/>
      <c r="N30" s="12"/>
      <c r="O30" s="12"/>
      <c r="P30" s="12"/>
      <c r="Q30" s="12"/>
      <c r="R30" s="12"/>
      <c r="S30" s="12"/>
      <c r="T30" s="12"/>
    </row>
    <row r="31" spans="1:20" ht="15.75" thickBot="1" x14ac:dyDescent="0.3">
      <c r="A31" s="323"/>
      <c r="B31" s="237" t="s">
        <v>8</v>
      </c>
      <c r="C31" s="105">
        <v>90000</v>
      </c>
      <c r="D31" s="15">
        <v>10</v>
      </c>
      <c r="E31" s="11"/>
      <c r="F31" s="189"/>
      <c r="G31" s="189"/>
      <c r="H31" s="189"/>
      <c r="I31" s="189"/>
      <c r="J31" s="189"/>
      <c r="K31" s="11"/>
      <c r="L31" s="11"/>
      <c r="M31" s="11"/>
      <c r="N31" s="12"/>
      <c r="O31" s="12"/>
      <c r="P31" s="12"/>
      <c r="Q31" s="12"/>
      <c r="R31" s="12"/>
      <c r="S31" s="12"/>
      <c r="T31" s="12"/>
    </row>
    <row r="32" spans="1:20" ht="33.75" thickBot="1" x14ac:dyDescent="0.3">
      <c r="A32" s="16"/>
      <c r="B32" s="17" t="s">
        <v>9</v>
      </c>
      <c r="C32" s="206">
        <f>SUM(C26:C31)</f>
        <v>470000</v>
      </c>
      <c r="D32" s="18"/>
      <c r="E32" s="11"/>
      <c r="F32" s="189"/>
      <c r="G32" s="189"/>
      <c r="H32" s="189"/>
      <c r="I32" s="189"/>
      <c r="J32" s="189"/>
      <c r="K32" s="11"/>
      <c r="L32" s="11"/>
      <c r="M32" s="11"/>
      <c r="N32" s="12"/>
      <c r="O32" s="12"/>
      <c r="P32" s="12"/>
      <c r="Q32" s="12"/>
      <c r="R32" s="12"/>
      <c r="S32" s="12"/>
      <c r="T32" s="12"/>
    </row>
    <row r="33" spans="1:20" ht="33" x14ac:dyDescent="0.25">
      <c r="A33" s="16"/>
      <c r="B33" s="19"/>
      <c r="C33" s="20"/>
      <c r="D33" s="21"/>
      <c r="E33" s="11"/>
      <c r="F33" s="38"/>
      <c r="G33" s="38"/>
      <c r="H33" s="38"/>
      <c r="I33" s="38"/>
      <c r="J33" s="38"/>
      <c r="K33" s="11"/>
      <c r="L33" s="11"/>
      <c r="M33" s="11"/>
      <c r="N33" s="12"/>
      <c r="O33" s="12"/>
      <c r="P33" s="12"/>
      <c r="Q33" s="12"/>
      <c r="R33" s="12"/>
      <c r="S33" s="12"/>
      <c r="T33" s="12"/>
    </row>
    <row r="34" spans="1:20" ht="16.5" thickBot="1" x14ac:dyDescent="0.3">
      <c r="A34" s="12"/>
      <c r="B34" s="374" t="s">
        <v>127</v>
      </c>
      <c r="C34" s="374"/>
      <c r="D34" s="11"/>
      <c r="E34" s="11"/>
      <c r="F34" s="11"/>
      <c r="G34" s="11"/>
      <c r="H34" s="11"/>
      <c r="I34" s="11"/>
      <c r="J34" s="11"/>
      <c r="K34" s="11"/>
      <c r="L34" s="11"/>
      <c r="M34" s="11"/>
      <c r="N34" s="12"/>
      <c r="O34" s="12"/>
      <c r="P34" s="12"/>
      <c r="Q34" s="12"/>
      <c r="R34" s="12"/>
      <c r="S34" s="12"/>
      <c r="T34" s="12"/>
    </row>
    <row r="35" spans="1:20" x14ac:dyDescent="0.25">
      <c r="A35" s="163"/>
      <c r="B35" s="117" t="s">
        <v>62</v>
      </c>
      <c r="C35" s="118" t="s">
        <v>63</v>
      </c>
      <c r="D35" s="11"/>
      <c r="E35" s="11"/>
      <c r="F35" s="11"/>
      <c r="G35" s="11"/>
      <c r="H35" s="11"/>
      <c r="I35" s="11"/>
      <c r="J35" s="11"/>
      <c r="K35" s="11"/>
      <c r="L35" s="11"/>
      <c r="M35" s="11"/>
      <c r="N35" s="12"/>
      <c r="O35" s="12"/>
      <c r="P35" s="12"/>
      <c r="Q35" s="12"/>
      <c r="R35" s="12"/>
      <c r="S35" s="12"/>
      <c r="T35" s="12"/>
    </row>
    <row r="36" spans="1:20" x14ac:dyDescent="0.25">
      <c r="A36" s="163"/>
      <c r="B36" s="22" t="s">
        <v>149</v>
      </c>
      <c r="C36" s="119">
        <v>10</v>
      </c>
      <c r="D36" s="11"/>
      <c r="E36" s="11"/>
      <c r="F36" s="11"/>
      <c r="G36" s="11"/>
      <c r="H36" s="11"/>
      <c r="I36" s="11"/>
      <c r="J36" s="11"/>
      <c r="K36" s="11"/>
      <c r="L36" s="11"/>
      <c r="M36" s="11"/>
      <c r="N36" s="12"/>
      <c r="O36" s="12"/>
      <c r="P36" s="12"/>
      <c r="Q36" s="12"/>
      <c r="R36" s="12"/>
      <c r="S36" s="12"/>
      <c r="T36" s="12"/>
    </row>
    <row r="37" spans="1:20" ht="15.75" thickBot="1" x14ac:dyDescent="0.3">
      <c r="A37" s="324"/>
      <c r="B37" s="23" t="s">
        <v>10</v>
      </c>
      <c r="C37" s="106">
        <v>5000</v>
      </c>
      <c r="D37" s="11"/>
      <c r="E37" s="11"/>
      <c r="F37" s="11"/>
      <c r="G37" s="11"/>
      <c r="H37" s="11"/>
      <c r="I37" s="11"/>
      <c r="J37" s="11"/>
      <c r="K37" s="11"/>
      <c r="L37" s="11"/>
      <c r="M37" s="11"/>
      <c r="N37" s="12"/>
      <c r="O37" s="12"/>
      <c r="P37" s="12"/>
      <c r="Q37" s="12"/>
      <c r="R37" s="12"/>
      <c r="S37" s="12"/>
      <c r="T37" s="12"/>
    </row>
    <row r="38" spans="1:20" ht="15" customHeight="1" x14ac:dyDescent="0.25">
      <c r="A38" s="324"/>
      <c r="B38" s="23" t="s">
        <v>128</v>
      </c>
      <c r="C38" s="106">
        <v>80</v>
      </c>
      <c r="D38" s="11"/>
      <c r="E38" s="11"/>
      <c r="F38" s="306" t="s">
        <v>131</v>
      </c>
      <c r="G38" s="307"/>
      <c r="H38" s="307"/>
      <c r="I38" s="307"/>
      <c r="J38" s="308"/>
      <c r="K38" s="11"/>
      <c r="L38" s="11"/>
      <c r="M38" s="11"/>
      <c r="N38" s="12"/>
      <c r="O38" s="12"/>
      <c r="P38" s="12"/>
      <c r="Q38" s="12"/>
      <c r="R38" s="12"/>
      <c r="S38" s="12"/>
      <c r="T38" s="12"/>
    </row>
    <row r="39" spans="1:20" x14ac:dyDescent="0.25">
      <c r="A39" s="324"/>
      <c r="B39" s="23" t="s">
        <v>129</v>
      </c>
      <c r="C39" s="106">
        <v>25</v>
      </c>
      <c r="D39" s="11"/>
      <c r="E39" s="11"/>
      <c r="F39" s="309"/>
      <c r="G39" s="310"/>
      <c r="H39" s="310"/>
      <c r="I39" s="310"/>
      <c r="J39" s="311"/>
      <c r="K39" s="11"/>
      <c r="L39" s="11"/>
      <c r="M39" s="11"/>
      <c r="N39" s="12"/>
      <c r="O39" s="12"/>
      <c r="P39" s="12"/>
      <c r="Q39" s="12"/>
      <c r="R39" s="12"/>
      <c r="S39" s="12"/>
      <c r="T39" s="12"/>
    </row>
    <row r="40" spans="1:20" x14ac:dyDescent="0.25">
      <c r="A40" s="324"/>
      <c r="B40" s="24" t="s">
        <v>130</v>
      </c>
      <c r="C40" s="120">
        <v>30000</v>
      </c>
      <c r="D40" s="11"/>
      <c r="E40" s="11"/>
      <c r="F40" s="309"/>
      <c r="G40" s="310"/>
      <c r="H40" s="310"/>
      <c r="I40" s="310"/>
      <c r="J40" s="311"/>
      <c r="K40" s="11"/>
      <c r="L40" s="11"/>
      <c r="M40" s="11"/>
      <c r="N40" s="12"/>
      <c r="O40" s="12"/>
      <c r="P40" s="12"/>
      <c r="Q40" s="12"/>
      <c r="R40" s="12"/>
      <c r="S40" s="12"/>
      <c r="T40" s="12"/>
    </row>
    <row r="41" spans="1:20" ht="33.75" thickBot="1" x14ac:dyDescent="0.3">
      <c r="A41" s="16"/>
      <c r="B41" s="23" t="s">
        <v>170</v>
      </c>
      <c r="C41" s="121">
        <v>0.11</v>
      </c>
      <c r="D41" s="11"/>
      <c r="E41" s="11"/>
      <c r="F41" s="312"/>
      <c r="G41" s="313"/>
      <c r="H41" s="313"/>
      <c r="I41" s="313"/>
      <c r="J41" s="314"/>
      <c r="K41" s="11"/>
      <c r="L41" s="11"/>
      <c r="M41" s="11"/>
      <c r="N41" s="12"/>
      <c r="O41" s="12"/>
      <c r="P41" s="12"/>
      <c r="Q41" s="12"/>
      <c r="R41" s="12"/>
      <c r="S41" s="12"/>
      <c r="T41" s="12"/>
    </row>
    <row r="42" spans="1:20" ht="33.75" thickBot="1" x14ac:dyDescent="0.3">
      <c r="A42" s="16"/>
      <c r="B42" s="25" t="s">
        <v>11</v>
      </c>
      <c r="C42" s="122">
        <v>0.22</v>
      </c>
      <c r="D42" s="11"/>
      <c r="E42" s="11"/>
      <c r="F42" s="11"/>
      <c r="G42" s="11"/>
      <c r="H42" s="11"/>
      <c r="I42" s="11"/>
      <c r="J42" s="11"/>
      <c r="K42" s="11"/>
      <c r="L42" s="11"/>
      <c r="M42" s="11"/>
      <c r="N42" s="12"/>
      <c r="O42" s="12"/>
      <c r="P42" s="12"/>
      <c r="Q42" s="12"/>
      <c r="R42" s="12"/>
      <c r="S42" s="12"/>
      <c r="T42" s="12"/>
    </row>
    <row r="43" spans="1:20" x14ac:dyDescent="0.25">
      <c r="A43" s="12"/>
      <c r="B43" s="12"/>
      <c r="C43" s="11"/>
      <c r="D43" s="11"/>
      <c r="E43" s="11"/>
      <c r="F43" s="11"/>
      <c r="G43" s="11"/>
      <c r="H43" s="11"/>
      <c r="I43" s="11"/>
      <c r="J43" s="11"/>
      <c r="K43" s="11"/>
      <c r="L43" s="11"/>
      <c r="M43" s="11"/>
      <c r="N43" s="12"/>
      <c r="O43" s="12"/>
      <c r="P43" s="12"/>
      <c r="Q43" s="12"/>
      <c r="R43" s="12"/>
      <c r="S43" s="12"/>
      <c r="T43" s="12"/>
    </row>
    <row r="44" spans="1:20" ht="20.25" x14ac:dyDescent="0.3">
      <c r="A44" s="1"/>
      <c r="B44" s="3"/>
      <c r="C44" s="11"/>
      <c r="D44" s="11"/>
      <c r="E44" s="11"/>
      <c r="F44" s="11"/>
      <c r="G44" s="11"/>
      <c r="H44" s="11"/>
      <c r="I44" s="11"/>
      <c r="J44" s="11"/>
      <c r="K44" s="11"/>
      <c r="L44" s="11"/>
      <c r="M44" s="11"/>
      <c r="N44" s="12"/>
      <c r="O44" s="12"/>
      <c r="P44" s="12"/>
      <c r="Q44" s="12"/>
      <c r="R44" s="12"/>
      <c r="S44" s="12"/>
      <c r="T44" s="12"/>
    </row>
    <row r="45" spans="1:20" ht="16.5" thickBot="1" x14ac:dyDescent="0.3">
      <c r="A45" s="12"/>
      <c r="B45" s="186" t="s">
        <v>132</v>
      </c>
      <c r="C45" s="11"/>
      <c r="D45" s="11"/>
      <c r="E45" s="11"/>
      <c r="F45" s="11"/>
      <c r="G45" s="11"/>
      <c r="H45" s="11"/>
      <c r="I45" s="11"/>
      <c r="J45" s="11"/>
      <c r="K45" s="11"/>
      <c r="L45" s="11"/>
      <c r="M45" s="11"/>
      <c r="N45" s="12"/>
      <c r="O45" s="12"/>
      <c r="P45" s="12"/>
      <c r="Q45" s="12"/>
      <c r="R45" s="12"/>
      <c r="S45" s="12"/>
      <c r="T45" s="12"/>
    </row>
    <row r="46" spans="1:20" x14ac:dyDescent="0.25">
      <c r="A46" s="324"/>
      <c r="B46" s="44" t="s">
        <v>12</v>
      </c>
      <c r="C46" s="45">
        <v>1</v>
      </c>
      <c r="D46" s="45">
        <v>2</v>
      </c>
      <c r="E46" s="45">
        <v>3</v>
      </c>
      <c r="F46" s="45">
        <v>4</v>
      </c>
      <c r="G46" s="45">
        <v>5</v>
      </c>
      <c r="H46" s="45">
        <v>6</v>
      </c>
      <c r="I46" s="45">
        <v>7</v>
      </c>
      <c r="J46" s="45">
        <v>8</v>
      </c>
      <c r="K46" s="45">
        <v>9</v>
      </c>
      <c r="L46" s="46">
        <v>10</v>
      </c>
      <c r="M46" s="26"/>
      <c r="N46" s="12"/>
      <c r="O46" s="12"/>
      <c r="P46" s="12"/>
      <c r="Q46" s="12"/>
      <c r="R46" s="12"/>
      <c r="S46" s="12"/>
      <c r="T46" s="12"/>
    </row>
    <row r="47" spans="1:20" x14ac:dyDescent="0.25">
      <c r="A47" s="324"/>
      <c r="B47" s="47" t="s">
        <v>13</v>
      </c>
      <c r="C47" s="14">
        <v>60</v>
      </c>
      <c r="D47" s="14">
        <v>80</v>
      </c>
      <c r="E47" s="14">
        <v>100</v>
      </c>
      <c r="F47" s="14">
        <v>100</v>
      </c>
      <c r="G47" s="14">
        <v>100</v>
      </c>
      <c r="H47" s="14">
        <v>100</v>
      </c>
      <c r="I47" s="14">
        <v>100</v>
      </c>
      <c r="J47" s="14">
        <v>100</v>
      </c>
      <c r="K47" s="14">
        <v>100</v>
      </c>
      <c r="L47" s="10">
        <v>100</v>
      </c>
      <c r="M47" s="11"/>
      <c r="N47" s="12"/>
      <c r="O47" s="12"/>
      <c r="P47" s="12"/>
      <c r="Q47" s="12"/>
      <c r="R47" s="12"/>
      <c r="S47" s="12"/>
      <c r="T47" s="12"/>
    </row>
    <row r="48" spans="1:20" x14ac:dyDescent="0.25">
      <c r="A48" s="324"/>
      <c r="B48" s="47" t="s">
        <v>14</v>
      </c>
      <c r="C48" s="14">
        <f>$C$37*C47/100</f>
        <v>3000</v>
      </c>
      <c r="D48" s="14">
        <f t="shared" ref="D48:L48" si="0">$C$37*D47/100</f>
        <v>4000</v>
      </c>
      <c r="E48" s="14">
        <f t="shared" si="0"/>
        <v>5000</v>
      </c>
      <c r="F48" s="14">
        <f t="shared" si="0"/>
        <v>5000</v>
      </c>
      <c r="G48" s="14">
        <f t="shared" si="0"/>
        <v>5000</v>
      </c>
      <c r="H48" s="14">
        <f t="shared" si="0"/>
        <v>5000</v>
      </c>
      <c r="I48" s="14">
        <f t="shared" si="0"/>
        <v>5000</v>
      </c>
      <c r="J48" s="14">
        <f t="shared" si="0"/>
        <v>5000</v>
      </c>
      <c r="K48" s="14">
        <f t="shared" si="0"/>
        <v>5000</v>
      </c>
      <c r="L48" s="10">
        <f t="shared" si="0"/>
        <v>5000</v>
      </c>
      <c r="M48" s="11"/>
      <c r="N48" s="12"/>
      <c r="O48" s="12"/>
      <c r="P48" s="12"/>
      <c r="Q48" s="12"/>
      <c r="R48" s="12"/>
      <c r="S48" s="12"/>
      <c r="T48" s="12"/>
    </row>
    <row r="49" spans="1:20" x14ac:dyDescent="0.25">
      <c r="A49" s="324"/>
      <c r="B49" s="47" t="s">
        <v>133</v>
      </c>
      <c r="C49" s="14">
        <f>C48*$C$38</f>
        <v>240000</v>
      </c>
      <c r="D49" s="14">
        <f t="shared" ref="D49:L49" si="1">D48*$C$38</f>
        <v>320000</v>
      </c>
      <c r="E49" s="14">
        <f t="shared" si="1"/>
        <v>400000</v>
      </c>
      <c r="F49" s="14">
        <f t="shared" si="1"/>
        <v>400000</v>
      </c>
      <c r="G49" s="14">
        <f t="shared" si="1"/>
        <v>400000</v>
      </c>
      <c r="H49" s="14">
        <f t="shared" si="1"/>
        <v>400000</v>
      </c>
      <c r="I49" s="14">
        <f t="shared" si="1"/>
        <v>400000</v>
      </c>
      <c r="J49" s="14">
        <f t="shared" si="1"/>
        <v>400000</v>
      </c>
      <c r="K49" s="14">
        <f t="shared" si="1"/>
        <v>400000</v>
      </c>
      <c r="L49" s="10">
        <f t="shared" si="1"/>
        <v>400000</v>
      </c>
      <c r="M49" s="11"/>
      <c r="N49" s="12"/>
      <c r="O49" s="12"/>
      <c r="P49" s="12"/>
      <c r="Q49" s="12"/>
      <c r="R49" s="12"/>
      <c r="S49" s="12"/>
      <c r="T49" s="12"/>
    </row>
    <row r="50" spans="1:20" x14ac:dyDescent="0.25">
      <c r="A50" s="324"/>
      <c r="B50" s="47" t="s">
        <v>134</v>
      </c>
      <c r="C50" s="14">
        <f>$C$39*C48</f>
        <v>75000</v>
      </c>
      <c r="D50" s="14">
        <f t="shared" ref="D50:L50" si="2">$C$39*D48</f>
        <v>100000</v>
      </c>
      <c r="E50" s="14">
        <f t="shared" si="2"/>
        <v>125000</v>
      </c>
      <c r="F50" s="14">
        <f t="shared" si="2"/>
        <v>125000</v>
      </c>
      <c r="G50" s="14">
        <f t="shared" si="2"/>
        <v>125000</v>
      </c>
      <c r="H50" s="14">
        <f t="shared" si="2"/>
        <v>125000</v>
      </c>
      <c r="I50" s="14">
        <f t="shared" si="2"/>
        <v>125000</v>
      </c>
      <c r="J50" s="14">
        <f t="shared" si="2"/>
        <v>125000</v>
      </c>
      <c r="K50" s="14">
        <f t="shared" si="2"/>
        <v>125000</v>
      </c>
      <c r="L50" s="10">
        <f t="shared" si="2"/>
        <v>125000</v>
      </c>
      <c r="M50" s="11"/>
      <c r="N50" s="12"/>
      <c r="O50" s="12"/>
      <c r="P50" s="12"/>
      <c r="Q50" s="12"/>
      <c r="R50" s="12"/>
      <c r="S50" s="12"/>
      <c r="T50" s="12"/>
    </row>
    <row r="51" spans="1:20" ht="15.75" thickBot="1" x14ac:dyDescent="0.3">
      <c r="A51" s="324"/>
      <c r="B51" s="52" t="s">
        <v>135</v>
      </c>
      <c r="C51" s="238">
        <f>$C$40</f>
        <v>30000</v>
      </c>
      <c r="D51" s="238">
        <f t="shared" ref="D51:L51" si="3">$C$40</f>
        <v>30000</v>
      </c>
      <c r="E51" s="238">
        <f t="shared" si="3"/>
        <v>30000</v>
      </c>
      <c r="F51" s="238">
        <f t="shared" si="3"/>
        <v>30000</v>
      </c>
      <c r="G51" s="238">
        <f t="shared" si="3"/>
        <v>30000</v>
      </c>
      <c r="H51" s="238">
        <f t="shared" si="3"/>
        <v>30000</v>
      </c>
      <c r="I51" s="238">
        <f t="shared" si="3"/>
        <v>30000</v>
      </c>
      <c r="J51" s="238">
        <f t="shared" si="3"/>
        <v>30000</v>
      </c>
      <c r="K51" s="238">
        <f t="shared" si="3"/>
        <v>30000</v>
      </c>
      <c r="L51" s="82">
        <f t="shared" si="3"/>
        <v>30000</v>
      </c>
      <c r="M51" s="11"/>
      <c r="N51" s="12"/>
      <c r="O51" s="12"/>
      <c r="P51" s="12"/>
      <c r="Q51" s="12"/>
      <c r="R51" s="12"/>
      <c r="S51" s="12"/>
      <c r="T51" s="12"/>
    </row>
    <row r="52" spans="1:20" x14ac:dyDescent="0.25">
      <c r="A52" s="12"/>
      <c r="B52" s="12"/>
      <c r="C52" s="11"/>
      <c r="D52" s="11"/>
      <c r="E52" s="11"/>
      <c r="F52" s="11"/>
      <c r="G52" s="11"/>
      <c r="H52" s="11"/>
      <c r="I52" s="11"/>
      <c r="J52" s="11"/>
      <c r="K52" s="11"/>
      <c r="L52" s="11"/>
      <c r="M52" s="11"/>
      <c r="N52" s="12"/>
      <c r="O52" s="12"/>
      <c r="P52" s="12"/>
      <c r="Q52" s="12"/>
      <c r="R52" s="12"/>
      <c r="S52" s="12"/>
      <c r="T52" s="12"/>
    </row>
    <row r="53" spans="1:20" ht="15.75" thickBot="1" x14ac:dyDescent="0.3">
      <c r="A53" s="12"/>
      <c r="B53" s="12"/>
      <c r="C53" s="11"/>
      <c r="D53" s="11"/>
      <c r="E53" s="11"/>
      <c r="F53" s="11"/>
      <c r="G53" s="11"/>
      <c r="H53" s="11"/>
      <c r="I53" s="11"/>
      <c r="J53" s="11"/>
      <c r="K53" s="11"/>
      <c r="L53" s="11"/>
      <c r="M53" s="11"/>
      <c r="N53" s="12"/>
      <c r="O53" s="12"/>
      <c r="P53" s="12"/>
      <c r="Q53" s="12"/>
      <c r="R53" s="12"/>
      <c r="S53" s="12"/>
      <c r="T53" s="12"/>
    </row>
    <row r="54" spans="1:20" x14ac:dyDescent="0.25">
      <c r="A54" s="12"/>
      <c r="B54" s="12"/>
      <c r="C54" s="11"/>
      <c r="D54" s="11"/>
      <c r="E54" s="11"/>
      <c r="F54" s="306" t="s">
        <v>136</v>
      </c>
      <c r="G54" s="307"/>
      <c r="H54" s="307"/>
      <c r="I54" s="307"/>
      <c r="J54" s="308"/>
      <c r="K54" s="11"/>
      <c r="L54" s="11"/>
      <c r="M54" s="11"/>
      <c r="N54" s="12"/>
      <c r="O54" s="12"/>
      <c r="P54" s="12"/>
      <c r="Q54" s="12"/>
      <c r="R54" s="12"/>
      <c r="S54" s="12"/>
      <c r="T54" s="12"/>
    </row>
    <row r="55" spans="1:20" x14ac:dyDescent="0.25">
      <c r="A55" s="12"/>
      <c r="B55" s="12"/>
      <c r="C55" s="11"/>
      <c r="D55" s="11"/>
      <c r="E55" s="11"/>
      <c r="F55" s="309"/>
      <c r="G55" s="310"/>
      <c r="H55" s="310"/>
      <c r="I55" s="310"/>
      <c r="J55" s="311"/>
      <c r="K55" s="11"/>
      <c r="L55" s="11"/>
      <c r="M55" s="11"/>
      <c r="N55" s="12"/>
      <c r="O55" s="12"/>
      <c r="P55" s="12"/>
      <c r="Q55" s="12"/>
      <c r="R55" s="12"/>
      <c r="S55" s="12"/>
      <c r="T55" s="12"/>
    </row>
    <row r="56" spans="1:20" x14ac:dyDescent="0.25">
      <c r="A56" s="12"/>
      <c r="B56" s="12"/>
      <c r="C56" s="11"/>
      <c r="D56" s="11"/>
      <c r="E56" s="11"/>
      <c r="F56" s="309"/>
      <c r="G56" s="310"/>
      <c r="H56" s="310"/>
      <c r="I56" s="310"/>
      <c r="J56" s="311"/>
      <c r="K56" s="11"/>
      <c r="L56" s="11"/>
      <c r="M56" s="11"/>
      <c r="N56" s="12"/>
      <c r="O56" s="12"/>
      <c r="P56" s="12"/>
      <c r="Q56" s="12"/>
      <c r="R56" s="12"/>
      <c r="S56" s="12"/>
      <c r="T56" s="12"/>
    </row>
    <row r="57" spans="1:20" ht="15.75" thickBot="1" x14ac:dyDescent="0.3">
      <c r="A57" s="12"/>
      <c r="B57" s="12"/>
      <c r="C57" s="11"/>
      <c r="D57" s="11"/>
      <c r="E57" s="11"/>
      <c r="F57" s="312"/>
      <c r="G57" s="313"/>
      <c r="H57" s="313"/>
      <c r="I57" s="313"/>
      <c r="J57" s="314"/>
      <c r="K57" s="11"/>
      <c r="L57" s="11"/>
      <c r="M57" s="11"/>
      <c r="N57" s="12"/>
      <c r="O57" s="12"/>
      <c r="P57" s="12"/>
      <c r="Q57" s="12"/>
      <c r="R57" s="12"/>
      <c r="S57" s="12"/>
      <c r="T57" s="12"/>
    </row>
    <row r="58" spans="1:20" ht="20.25" x14ac:dyDescent="0.25">
      <c r="A58" s="27"/>
      <c r="B58" s="12"/>
      <c r="C58" s="11"/>
      <c r="D58" s="11"/>
      <c r="E58" s="11"/>
      <c r="F58" s="11"/>
      <c r="G58" s="11"/>
      <c r="H58" s="11"/>
      <c r="I58" s="11"/>
      <c r="J58" s="11"/>
      <c r="K58" s="11"/>
      <c r="L58" s="11"/>
      <c r="M58" s="11"/>
      <c r="N58" s="12"/>
      <c r="O58" s="12"/>
      <c r="P58" s="12"/>
      <c r="Q58" s="12"/>
      <c r="R58" s="12"/>
      <c r="S58" s="12"/>
      <c r="T58" s="12"/>
    </row>
    <row r="59" spans="1:20" ht="16.5" thickBot="1" x14ac:dyDescent="0.3">
      <c r="A59" s="28"/>
      <c r="B59" s="186" t="s">
        <v>137</v>
      </c>
      <c r="C59" s="11"/>
      <c r="D59" s="11"/>
      <c r="E59" s="11"/>
      <c r="F59" s="11"/>
      <c r="G59" s="11"/>
      <c r="H59" s="11"/>
      <c r="I59" s="11"/>
      <c r="J59" s="11"/>
      <c r="K59" s="11"/>
      <c r="L59" s="11"/>
      <c r="M59" s="11"/>
      <c r="N59" s="12"/>
      <c r="O59" s="12"/>
      <c r="P59" s="12"/>
      <c r="Q59" s="12"/>
      <c r="R59" s="12"/>
      <c r="S59" s="12"/>
      <c r="T59" s="12"/>
    </row>
    <row r="60" spans="1:20" x14ac:dyDescent="0.25">
      <c r="A60" s="324"/>
      <c r="B60" s="29"/>
      <c r="C60" s="30"/>
      <c r="D60" s="30"/>
      <c r="E60" s="30"/>
      <c r="F60" s="363" t="s">
        <v>15</v>
      </c>
      <c r="G60" s="364"/>
      <c r="H60" s="11"/>
      <c r="I60" s="11"/>
      <c r="J60" s="11"/>
      <c r="K60" s="11"/>
      <c r="L60" s="11"/>
      <c r="M60" s="11"/>
      <c r="N60" s="12"/>
      <c r="O60" s="12"/>
      <c r="P60" s="12"/>
      <c r="Q60" s="12"/>
      <c r="R60" s="12"/>
      <c r="S60" s="12"/>
      <c r="T60" s="12"/>
    </row>
    <row r="61" spans="1:20" ht="15.75" thickBot="1" x14ac:dyDescent="0.3">
      <c r="A61" s="324"/>
      <c r="B61" s="31" t="s">
        <v>0</v>
      </c>
      <c r="C61" s="113" t="s">
        <v>138</v>
      </c>
      <c r="D61" s="113" t="s">
        <v>16</v>
      </c>
      <c r="E61" s="113" t="s">
        <v>140</v>
      </c>
      <c r="F61" s="113" t="s">
        <v>17</v>
      </c>
      <c r="G61" s="114" t="s">
        <v>18</v>
      </c>
      <c r="H61" s="11"/>
      <c r="I61" s="11"/>
      <c r="J61" s="11"/>
      <c r="K61" s="11"/>
      <c r="L61" s="11"/>
      <c r="M61" s="11"/>
      <c r="N61" s="12"/>
      <c r="O61" s="12"/>
      <c r="P61" s="12"/>
      <c r="Q61" s="12"/>
      <c r="R61" s="12"/>
      <c r="S61" s="12"/>
      <c r="T61" s="12"/>
    </row>
    <row r="62" spans="1:20" x14ac:dyDescent="0.25">
      <c r="A62" s="324"/>
      <c r="B62" s="32" t="s">
        <v>4</v>
      </c>
      <c r="C62" s="43">
        <f>C27</f>
        <v>140000</v>
      </c>
      <c r="D62" s="43">
        <f>D27</f>
        <v>25</v>
      </c>
      <c r="E62" s="43">
        <f>C62/D62</f>
        <v>5600</v>
      </c>
      <c r="F62" s="39"/>
      <c r="G62" s="239">
        <f>C62-(E62*10)</f>
        <v>84000</v>
      </c>
      <c r="H62" s="11"/>
      <c r="I62" s="306" t="s">
        <v>121</v>
      </c>
      <c r="J62" s="307"/>
      <c r="K62" s="307"/>
      <c r="L62" s="307"/>
      <c r="M62" s="308"/>
      <c r="N62" s="12"/>
      <c r="O62" s="12"/>
      <c r="P62" s="12"/>
      <c r="Q62" s="12"/>
      <c r="R62" s="12"/>
      <c r="S62" s="12"/>
      <c r="T62" s="12"/>
    </row>
    <row r="63" spans="1:20" x14ac:dyDescent="0.25">
      <c r="A63" s="324"/>
      <c r="B63" s="32" t="s">
        <v>3</v>
      </c>
      <c r="C63" s="43">
        <v>50000</v>
      </c>
      <c r="D63" s="43"/>
      <c r="E63" s="43"/>
      <c r="F63" s="39"/>
      <c r="G63" s="239">
        <f>+C63</f>
        <v>50000</v>
      </c>
      <c r="H63" s="11"/>
      <c r="I63" s="309"/>
      <c r="J63" s="310"/>
      <c r="K63" s="310"/>
      <c r="L63" s="310"/>
      <c r="M63" s="311"/>
      <c r="N63" s="12"/>
      <c r="O63" s="12"/>
      <c r="P63" s="12"/>
      <c r="Q63" s="12"/>
      <c r="R63" s="12"/>
      <c r="S63" s="12"/>
      <c r="T63" s="12"/>
    </row>
    <row r="64" spans="1:20" x14ac:dyDescent="0.25">
      <c r="A64" s="324"/>
      <c r="B64" s="32" t="s">
        <v>6</v>
      </c>
      <c r="C64" s="43">
        <f t="shared" ref="C64:D66" si="4">C29</f>
        <v>150000</v>
      </c>
      <c r="D64" s="43">
        <f t="shared" si="4"/>
        <v>10</v>
      </c>
      <c r="E64" s="43">
        <f>C64/D64</f>
        <v>15000</v>
      </c>
      <c r="F64" s="39"/>
      <c r="G64" s="106">
        <f>+C64*0.1</f>
        <v>15000</v>
      </c>
      <c r="H64" s="11"/>
      <c r="I64" s="309"/>
      <c r="J64" s="310"/>
      <c r="K64" s="310"/>
      <c r="L64" s="310"/>
      <c r="M64" s="311"/>
      <c r="N64" s="12"/>
      <c r="O64" s="12"/>
      <c r="P64" s="12"/>
      <c r="Q64" s="12"/>
      <c r="R64" s="12"/>
      <c r="S64" s="12"/>
      <c r="T64" s="12"/>
    </row>
    <row r="65" spans="1:20" x14ac:dyDescent="0.25">
      <c r="A65" s="324"/>
      <c r="B65" s="32" t="s">
        <v>7</v>
      </c>
      <c r="C65" s="43">
        <f t="shared" si="4"/>
        <v>40000</v>
      </c>
      <c r="D65" s="43">
        <f t="shared" si="4"/>
        <v>10</v>
      </c>
      <c r="E65" s="43">
        <f>C65/D65</f>
        <v>4000</v>
      </c>
      <c r="F65" s="43"/>
      <c r="G65" s="106">
        <f>+C65*0.2</f>
        <v>8000</v>
      </c>
      <c r="H65" s="11"/>
      <c r="I65" s="309"/>
      <c r="J65" s="310"/>
      <c r="K65" s="310"/>
      <c r="L65" s="310"/>
      <c r="M65" s="311"/>
      <c r="N65" s="12"/>
      <c r="O65" s="12"/>
      <c r="P65" s="12"/>
      <c r="Q65" s="12"/>
      <c r="R65" s="12"/>
      <c r="S65" s="12"/>
      <c r="T65" s="12"/>
    </row>
    <row r="66" spans="1:20" ht="15.75" thickBot="1" x14ac:dyDescent="0.3">
      <c r="A66" s="324"/>
      <c r="B66" s="34" t="s">
        <v>8</v>
      </c>
      <c r="C66" s="107">
        <f t="shared" si="4"/>
        <v>90000</v>
      </c>
      <c r="D66" s="107">
        <f t="shared" si="4"/>
        <v>10</v>
      </c>
      <c r="E66" s="43">
        <f>C66/D66</f>
        <v>9000</v>
      </c>
      <c r="F66" s="108"/>
      <c r="G66" s="109">
        <v>0</v>
      </c>
      <c r="H66" s="11"/>
      <c r="I66" s="312"/>
      <c r="J66" s="313"/>
      <c r="K66" s="313"/>
      <c r="L66" s="313"/>
      <c r="M66" s="314"/>
      <c r="N66" s="12"/>
      <c r="O66" s="12"/>
      <c r="P66" s="12"/>
      <c r="Q66" s="12"/>
      <c r="R66" s="12"/>
      <c r="S66" s="12"/>
      <c r="T66" s="12"/>
    </row>
    <row r="67" spans="1:20" ht="33.75" thickBot="1" x14ac:dyDescent="0.3">
      <c r="A67" s="16"/>
      <c r="B67" s="35" t="s">
        <v>139</v>
      </c>
      <c r="C67" s="110"/>
      <c r="D67" s="110"/>
      <c r="E67" s="205">
        <f>SUM(E62:E66)</f>
        <v>33600</v>
      </c>
      <c r="F67" s="111"/>
      <c r="G67" s="112">
        <f>SUM(G62:G66)</f>
        <v>157000</v>
      </c>
      <c r="H67" s="11"/>
      <c r="I67" s="11"/>
      <c r="J67" s="11"/>
      <c r="K67" s="11"/>
      <c r="L67" s="11"/>
      <c r="M67" s="11"/>
      <c r="N67" s="12"/>
      <c r="O67" s="12"/>
      <c r="P67" s="12"/>
      <c r="Q67" s="12"/>
      <c r="R67" s="12"/>
      <c r="S67" s="12"/>
      <c r="T67" s="12"/>
    </row>
    <row r="68" spans="1:20" ht="33" x14ac:dyDescent="0.25">
      <c r="A68" s="16"/>
      <c r="B68" s="36"/>
      <c r="C68" s="37"/>
      <c r="D68" s="37"/>
      <c r="E68" s="37"/>
      <c r="F68" s="38"/>
      <c r="G68" s="37"/>
      <c r="H68" s="11"/>
      <c r="I68" s="11"/>
      <c r="J68" s="11"/>
      <c r="K68" s="11"/>
      <c r="L68" s="11"/>
      <c r="M68" s="11"/>
      <c r="N68" s="12"/>
      <c r="O68" s="12"/>
      <c r="P68" s="12"/>
      <c r="Q68" s="12"/>
      <c r="R68" s="12"/>
      <c r="S68" s="12"/>
      <c r="T68" s="12"/>
    </row>
    <row r="69" spans="1:20" ht="20.25" x14ac:dyDescent="0.3">
      <c r="A69" s="1"/>
      <c r="B69" s="186" t="s">
        <v>141</v>
      </c>
      <c r="C69" s="2"/>
      <c r="D69" s="2"/>
      <c r="E69" s="2"/>
      <c r="F69" s="2"/>
      <c r="G69" s="2"/>
      <c r="H69" s="2"/>
      <c r="I69" s="2"/>
      <c r="J69" s="2"/>
      <c r="K69" s="2"/>
      <c r="L69" s="2"/>
      <c r="M69" s="2"/>
      <c r="N69" s="1"/>
      <c r="O69" s="1"/>
      <c r="P69" s="1"/>
      <c r="Q69" s="1"/>
      <c r="R69" s="1"/>
      <c r="S69" s="1"/>
      <c r="T69" s="1"/>
    </row>
    <row r="70" spans="1:20" ht="15.75" thickBot="1" x14ac:dyDescent="0.3">
      <c r="A70" s="324"/>
      <c r="B70" s="375" t="s">
        <v>19</v>
      </c>
      <c r="C70" s="375"/>
      <c r="D70" s="123" t="s">
        <v>20</v>
      </c>
      <c r="E70" s="123" t="s">
        <v>21</v>
      </c>
      <c r="F70" s="14"/>
      <c r="G70" s="11"/>
      <c r="H70" s="11"/>
      <c r="I70" s="11"/>
      <c r="J70" s="11"/>
      <c r="K70" s="11"/>
      <c r="L70" s="11"/>
      <c r="M70" s="11"/>
      <c r="N70" s="12"/>
      <c r="O70" s="12"/>
      <c r="P70" s="12"/>
      <c r="Q70" s="12"/>
      <c r="R70" s="12"/>
      <c r="S70" s="12"/>
      <c r="T70" s="12"/>
    </row>
    <row r="71" spans="1:20" x14ac:dyDescent="0.25">
      <c r="A71" s="324"/>
      <c r="B71" s="40" t="s">
        <v>142</v>
      </c>
      <c r="C71" s="41" t="s">
        <v>144</v>
      </c>
      <c r="D71" s="42">
        <v>0.25</v>
      </c>
      <c r="E71" s="14">
        <f>C49</f>
        <v>240000</v>
      </c>
      <c r="F71" s="14">
        <f>D71*E71</f>
        <v>60000</v>
      </c>
      <c r="G71" s="11"/>
      <c r="H71" s="315" t="s">
        <v>147</v>
      </c>
      <c r="I71" s="316"/>
      <c r="J71" s="316"/>
      <c r="K71" s="316"/>
      <c r="L71" s="316"/>
      <c r="M71" s="317"/>
      <c r="N71" s="12"/>
      <c r="O71" s="12"/>
      <c r="P71" s="12"/>
      <c r="Q71" s="12"/>
      <c r="R71" s="12"/>
      <c r="S71" s="12"/>
      <c r="T71" s="12"/>
    </row>
    <row r="72" spans="1:20" ht="29.25" thickBot="1" x14ac:dyDescent="0.3">
      <c r="A72" s="324"/>
      <c r="B72" s="198" t="s">
        <v>143</v>
      </c>
      <c r="C72" s="199" t="s">
        <v>145</v>
      </c>
      <c r="D72" s="200">
        <v>0.3</v>
      </c>
      <c r="E72" s="201">
        <f>C50+C51</f>
        <v>105000</v>
      </c>
      <c r="F72" s="201">
        <f>D72*E72</f>
        <v>31500</v>
      </c>
      <c r="G72" s="11"/>
      <c r="H72" s="318"/>
      <c r="I72" s="310"/>
      <c r="J72" s="310"/>
      <c r="K72" s="310"/>
      <c r="L72" s="310"/>
      <c r="M72" s="319"/>
      <c r="N72" s="12"/>
      <c r="O72" s="12"/>
      <c r="P72" s="12"/>
      <c r="Q72" s="12"/>
      <c r="R72" s="12"/>
      <c r="S72" s="12"/>
      <c r="T72" s="12"/>
    </row>
    <row r="73" spans="1:20" ht="15.75" thickBot="1" x14ac:dyDescent="0.3">
      <c r="A73" s="324"/>
      <c r="B73" s="202" t="s">
        <v>146</v>
      </c>
      <c r="C73" s="203" t="s">
        <v>22</v>
      </c>
      <c r="D73" s="204"/>
      <c r="E73" s="204"/>
      <c r="F73" s="208">
        <f>F71-F72</f>
        <v>28500</v>
      </c>
      <c r="G73" s="11"/>
      <c r="H73" s="320"/>
      <c r="I73" s="321"/>
      <c r="J73" s="321"/>
      <c r="K73" s="321"/>
      <c r="L73" s="321"/>
      <c r="M73" s="322"/>
      <c r="N73" s="12"/>
      <c r="O73" s="12"/>
      <c r="P73" s="12"/>
      <c r="Q73" s="12"/>
      <c r="R73" s="12"/>
      <c r="S73" s="12"/>
      <c r="T73" s="12"/>
    </row>
    <row r="74" spans="1:20" x14ac:dyDescent="0.25">
      <c r="A74" s="12"/>
      <c r="B74" s="12"/>
      <c r="C74" s="11"/>
      <c r="D74" s="11"/>
      <c r="E74" s="11"/>
      <c r="F74" s="11"/>
      <c r="G74" s="11"/>
      <c r="H74" s="11"/>
      <c r="I74" s="11"/>
      <c r="J74" s="11"/>
      <c r="K74" s="11"/>
      <c r="L74" s="11"/>
      <c r="M74" s="11"/>
      <c r="N74" s="12"/>
      <c r="O74" s="12"/>
      <c r="P74" s="12"/>
      <c r="Q74" s="12"/>
      <c r="R74" s="12"/>
      <c r="S74" s="12"/>
      <c r="T74" s="12"/>
    </row>
    <row r="75" spans="1:20" ht="21" thickBot="1" x14ac:dyDescent="0.35">
      <c r="A75" s="1"/>
      <c r="B75" s="186" t="s">
        <v>150</v>
      </c>
      <c r="C75" s="11"/>
      <c r="D75" s="11"/>
      <c r="E75" s="11"/>
      <c r="F75" s="11"/>
      <c r="G75" s="11"/>
      <c r="H75" s="11"/>
      <c r="I75" s="11"/>
      <c r="J75" s="11"/>
      <c r="K75" s="11"/>
      <c r="L75" s="11"/>
      <c r="M75" s="11"/>
      <c r="N75" s="12"/>
      <c r="O75" s="12"/>
      <c r="P75" s="12"/>
      <c r="Q75" s="12"/>
      <c r="R75" s="12"/>
      <c r="S75" s="12"/>
      <c r="T75" s="12"/>
    </row>
    <row r="76" spans="1:20" x14ac:dyDescent="0.25">
      <c r="A76" s="323"/>
      <c r="B76" s="44" t="s">
        <v>23</v>
      </c>
      <c r="C76" s="45">
        <v>1</v>
      </c>
      <c r="D76" s="45">
        <v>2</v>
      </c>
      <c r="E76" s="45">
        <v>3</v>
      </c>
      <c r="F76" s="45">
        <v>4</v>
      </c>
      <c r="G76" s="45">
        <v>5</v>
      </c>
      <c r="H76" s="45">
        <v>6</v>
      </c>
      <c r="I76" s="45">
        <v>7</v>
      </c>
      <c r="J76" s="45">
        <v>8</v>
      </c>
      <c r="K76" s="45">
        <v>9</v>
      </c>
      <c r="L76" s="46">
        <v>10</v>
      </c>
      <c r="M76" s="26"/>
      <c r="N76" s="12"/>
      <c r="O76" s="12"/>
      <c r="P76" s="12"/>
      <c r="Q76" s="12"/>
      <c r="R76" s="12"/>
      <c r="S76" s="12"/>
      <c r="T76" s="12"/>
    </row>
    <row r="77" spans="1:20" x14ac:dyDescent="0.25">
      <c r="A77" s="323"/>
      <c r="B77" s="23" t="s">
        <v>24</v>
      </c>
      <c r="C77" s="33">
        <f>C49</f>
        <v>240000</v>
      </c>
      <c r="D77" s="33">
        <f t="shared" ref="D77:L77" si="5">D49</f>
        <v>320000</v>
      </c>
      <c r="E77" s="33">
        <f t="shared" si="5"/>
        <v>400000</v>
      </c>
      <c r="F77" s="33">
        <f t="shared" si="5"/>
        <v>400000</v>
      </c>
      <c r="G77" s="33">
        <f t="shared" si="5"/>
        <v>400000</v>
      </c>
      <c r="H77" s="33">
        <f t="shared" si="5"/>
        <v>400000</v>
      </c>
      <c r="I77" s="33">
        <f t="shared" si="5"/>
        <v>400000</v>
      </c>
      <c r="J77" s="33">
        <f t="shared" si="5"/>
        <v>400000</v>
      </c>
      <c r="K77" s="33">
        <f t="shared" si="5"/>
        <v>400000</v>
      </c>
      <c r="L77" s="33">
        <f t="shared" si="5"/>
        <v>400000</v>
      </c>
      <c r="M77" s="37"/>
      <c r="N77" s="12"/>
      <c r="O77" s="12"/>
      <c r="P77" s="12"/>
      <c r="Q77" s="12"/>
      <c r="R77" s="12"/>
      <c r="S77" s="12"/>
      <c r="T77" s="12"/>
    </row>
    <row r="78" spans="1:20" x14ac:dyDescent="0.25">
      <c r="A78" s="323"/>
      <c r="B78" s="23" t="s">
        <v>171</v>
      </c>
      <c r="C78" s="33">
        <f>C77*$C$41</f>
        <v>26400</v>
      </c>
      <c r="D78" s="33">
        <f t="shared" ref="D78:L78" si="6">D77*$C$41</f>
        <v>35200</v>
      </c>
      <c r="E78" s="33">
        <f t="shared" si="6"/>
        <v>44000</v>
      </c>
      <c r="F78" s="33">
        <f t="shared" si="6"/>
        <v>44000</v>
      </c>
      <c r="G78" s="33">
        <f t="shared" si="6"/>
        <v>44000</v>
      </c>
      <c r="H78" s="33">
        <f t="shared" si="6"/>
        <v>44000</v>
      </c>
      <c r="I78" s="33">
        <f t="shared" si="6"/>
        <v>44000</v>
      </c>
      <c r="J78" s="33">
        <f t="shared" si="6"/>
        <v>44000</v>
      </c>
      <c r="K78" s="33">
        <f t="shared" si="6"/>
        <v>44000</v>
      </c>
      <c r="L78" s="33">
        <f t="shared" si="6"/>
        <v>44000</v>
      </c>
      <c r="M78" s="37"/>
      <c r="N78" s="12"/>
      <c r="O78" s="12"/>
      <c r="P78" s="12"/>
      <c r="Q78" s="12"/>
      <c r="R78" s="12"/>
      <c r="S78" s="12"/>
      <c r="T78" s="12"/>
    </row>
    <row r="79" spans="1:20" x14ac:dyDescent="0.25">
      <c r="A79" s="323"/>
      <c r="B79" s="47" t="s">
        <v>28</v>
      </c>
      <c r="C79" s="210">
        <f>C77 -C78</f>
        <v>213600</v>
      </c>
      <c r="D79" s="210">
        <f t="shared" ref="D79:L79" si="7">D77 -D78</f>
        <v>284800</v>
      </c>
      <c r="E79" s="210">
        <f t="shared" si="7"/>
        <v>356000</v>
      </c>
      <c r="F79" s="210">
        <f t="shared" si="7"/>
        <v>356000</v>
      </c>
      <c r="G79" s="210">
        <f t="shared" si="7"/>
        <v>356000</v>
      </c>
      <c r="H79" s="210">
        <f t="shared" si="7"/>
        <v>356000</v>
      </c>
      <c r="I79" s="210">
        <f t="shared" si="7"/>
        <v>356000</v>
      </c>
      <c r="J79" s="210">
        <f t="shared" si="7"/>
        <v>356000</v>
      </c>
      <c r="K79" s="210">
        <f t="shared" si="7"/>
        <v>356000</v>
      </c>
      <c r="L79" s="210">
        <f t="shared" si="7"/>
        <v>356000</v>
      </c>
      <c r="M79" s="49"/>
      <c r="N79" s="330"/>
      <c r="O79" s="330"/>
      <c r="P79" s="330"/>
      <c r="Q79" s="330"/>
      <c r="R79" s="330"/>
      <c r="S79" s="12"/>
      <c r="T79" s="12"/>
    </row>
    <row r="80" spans="1:20" ht="15.75" thickBot="1" x14ac:dyDescent="0.3">
      <c r="A80" s="323"/>
      <c r="B80" s="47" t="s">
        <v>29</v>
      </c>
      <c r="C80" s="214">
        <f>SUM(C81:C82)</f>
        <v>105000</v>
      </c>
      <c r="D80" s="214">
        <f t="shared" ref="D80:L80" si="8">SUM(D81:D82)</f>
        <v>130000</v>
      </c>
      <c r="E80" s="214">
        <f t="shared" si="8"/>
        <v>155000</v>
      </c>
      <c r="F80" s="214">
        <f t="shared" si="8"/>
        <v>155000</v>
      </c>
      <c r="G80" s="214">
        <f t="shared" si="8"/>
        <v>155000</v>
      </c>
      <c r="H80" s="214">
        <f t="shared" si="8"/>
        <v>155000</v>
      </c>
      <c r="I80" s="214">
        <f t="shared" si="8"/>
        <v>155000</v>
      </c>
      <c r="J80" s="214">
        <f t="shared" si="8"/>
        <v>155000</v>
      </c>
      <c r="K80" s="214">
        <f t="shared" si="8"/>
        <v>155000</v>
      </c>
      <c r="L80" s="215">
        <f t="shared" si="8"/>
        <v>155000</v>
      </c>
      <c r="M80" s="49"/>
      <c r="N80" s="330"/>
      <c r="O80" s="330"/>
      <c r="P80" s="330"/>
      <c r="Q80" s="330"/>
      <c r="R80" s="330"/>
      <c r="S80" s="12"/>
      <c r="T80" s="12"/>
    </row>
    <row r="81" spans="1:20" ht="15" customHeight="1" x14ac:dyDescent="0.25">
      <c r="A81" s="323"/>
      <c r="B81" s="23" t="s">
        <v>30</v>
      </c>
      <c r="C81" s="33">
        <f t="shared" ref="C81:L81" si="9">C50</f>
        <v>75000</v>
      </c>
      <c r="D81" s="33">
        <f t="shared" si="9"/>
        <v>100000</v>
      </c>
      <c r="E81" s="33">
        <f t="shared" si="9"/>
        <v>125000</v>
      </c>
      <c r="F81" s="33">
        <f t="shared" si="9"/>
        <v>125000</v>
      </c>
      <c r="G81" s="33">
        <f t="shared" si="9"/>
        <v>125000</v>
      </c>
      <c r="H81" s="33">
        <f t="shared" si="9"/>
        <v>125000</v>
      </c>
      <c r="I81" s="33">
        <f t="shared" si="9"/>
        <v>125000</v>
      </c>
      <c r="J81" s="33">
        <f t="shared" si="9"/>
        <v>125000</v>
      </c>
      <c r="K81" s="33">
        <f t="shared" si="9"/>
        <v>125000</v>
      </c>
      <c r="L81" s="33">
        <f t="shared" si="9"/>
        <v>125000</v>
      </c>
      <c r="M81" s="37"/>
      <c r="N81" s="346" t="s">
        <v>148</v>
      </c>
      <c r="O81" s="347"/>
      <c r="P81" s="347"/>
      <c r="Q81" s="347"/>
      <c r="R81" s="348"/>
      <c r="S81" s="12"/>
      <c r="T81" s="12"/>
    </row>
    <row r="82" spans="1:20" x14ac:dyDescent="0.25">
      <c r="A82" s="323"/>
      <c r="B82" s="23" t="s">
        <v>31</v>
      </c>
      <c r="C82" s="33">
        <f t="shared" ref="C82:L82" si="10">C51</f>
        <v>30000</v>
      </c>
      <c r="D82" s="33">
        <f t="shared" si="10"/>
        <v>30000</v>
      </c>
      <c r="E82" s="33">
        <f t="shared" si="10"/>
        <v>30000</v>
      </c>
      <c r="F82" s="33">
        <f t="shared" si="10"/>
        <v>30000</v>
      </c>
      <c r="G82" s="33">
        <f t="shared" si="10"/>
        <v>30000</v>
      </c>
      <c r="H82" s="33">
        <f t="shared" si="10"/>
        <v>30000</v>
      </c>
      <c r="I82" s="33">
        <f t="shared" si="10"/>
        <v>30000</v>
      </c>
      <c r="J82" s="33">
        <f t="shared" si="10"/>
        <v>30000</v>
      </c>
      <c r="K82" s="33">
        <f t="shared" si="10"/>
        <v>30000</v>
      </c>
      <c r="L82" s="33">
        <f t="shared" si="10"/>
        <v>30000</v>
      </c>
      <c r="M82" s="37"/>
      <c r="N82" s="349"/>
      <c r="O82" s="330"/>
      <c r="P82" s="330"/>
      <c r="Q82" s="330"/>
      <c r="R82" s="350"/>
      <c r="S82" s="12"/>
      <c r="T82" s="12"/>
    </row>
    <row r="83" spans="1:20" x14ac:dyDescent="0.25">
      <c r="A83" s="323"/>
      <c r="B83" s="47" t="s">
        <v>32</v>
      </c>
      <c r="C83" s="252">
        <f t="shared" ref="C83:L83" si="11">SUM(C84:C84)</f>
        <v>33600</v>
      </c>
      <c r="D83" s="252">
        <f t="shared" si="11"/>
        <v>33600</v>
      </c>
      <c r="E83" s="252">
        <f t="shared" si="11"/>
        <v>33600</v>
      </c>
      <c r="F83" s="252">
        <f t="shared" si="11"/>
        <v>33600</v>
      </c>
      <c r="G83" s="252">
        <f t="shared" si="11"/>
        <v>33600</v>
      </c>
      <c r="H83" s="252">
        <f t="shared" si="11"/>
        <v>33600</v>
      </c>
      <c r="I83" s="252">
        <f t="shared" si="11"/>
        <v>33600</v>
      </c>
      <c r="J83" s="252">
        <f t="shared" si="11"/>
        <v>33600</v>
      </c>
      <c r="K83" s="252">
        <f t="shared" si="11"/>
        <v>33600</v>
      </c>
      <c r="L83" s="252">
        <f t="shared" si="11"/>
        <v>33600</v>
      </c>
      <c r="M83" s="49"/>
      <c r="N83" s="349"/>
      <c r="O83" s="330"/>
      <c r="P83" s="330"/>
      <c r="Q83" s="330"/>
      <c r="R83" s="350"/>
      <c r="S83" s="12"/>
      <c r="T83" s="12"/>
    </row>
    <row r="84" spans="1:20" ht="15.75" thickBot="1" x14ac:dyDescent="0.3">
      <c r="A84" s="323"/>
      <c r="B84" s="23" t="s">
        <v>33</v>
      </c>
      <c r="C84" s="33">
        <f>$E$67</f>
        <v>33600</v>
      </c>
      <c r="D84" s="33">
        <f t="shared" ref="D84:L84" si="12">$E$67</f>
        <v>33600</v>
      </c>
      <c r="E84" s="33">
        <f t="shared" si="12"/>
        <v>33600</v>
      </c>
      <c r="F84" s="33">
        <f t="shared" si="12"/>
        <v>33600</v>
      </c>
      <c r="G84" s="33">
        <f t="shared" si="12"/>
        <v>33600</v>
      </c>
      <c r="H84" s="33">
        <f t="shared" si="12"/>
        <v>33600</v>
      </c>
      <c r="I84" s="33">
        <f t="shared" si="12"/>
        <v>33600</v>
      </c>
      <c r="J84" s="33">
        <f t="shared" si="12"/>
        <v>33600</v>
      </c>
      <c r="K84" s="33">
        <f t="shared" si="12"/>
        <v>33600</v>
      </c>
      <c r="L84" s="33">
        <f t="shared" si="12"/>
        <v>33600</v>
      </c>
      <c r="M84" s="37"/>
      <c r="N84" s="351"/>
      <c r="O84" s="352"/>
      <c r="P84" s="352"/>
      <c r="Q84" s="352"/>
      <c r="R84" s="353"/>
      <c r="S84" s="12"/>
      <c r="T84" s="12"/>
    </row>
    <row r="85" spans="1:20" ht="15.75" thickBot="1" x14ac:dyDescent="0.3">
      <c r="A85" s="323"/>
      <c r="B85" s="170" t="s">
        <v>34</v>
      </c>
      <c r="C85" s="171">
        <f>C79-(C80+C83)</f>
        <v>75000</v>
      </c>
      <c r="D85" s="171">
        <f t="shared" ref="D85:L85" si="13">D79-(D80+D83)</f>
        <v>121200</v>
      </c>
      <c r="E85" s="171">
        <f t="shared" si="13"/>
        <v>167400</v>
      </c>
      <c r="F85" s="171">
        <f t="shared" si="13"/>
        <v>167400</v>
      </c>
      <c r="G85" s="171">
        <f t="shared" si="13"/>
        <v>167400</v>
      </c>
      <c r="H85" s="171">
        <f t="shared" si="13"/>
        <v>167400</v>
      </c>
      <c r="I85" s="171">
        <f t="shared" si="13"/>
        <v>167400</v>
      </c>
      <c r="J85" s="171">
        <f t="shared" si="13"/>
        <v>167400</v>
      </c>
      <c r="K85" s="171">
        <f t="shared" si="13"/>
        <v>167400</v>
      </c>
      <c r="L85" s="171">
        <f t="shared" si="13"/>
        <v>167400</v>
      </c>
      <c r="M85" s="37"/>
      <c r="N85" s="12"/>
      <c r="O85" s="12"/>
      <c r="P85" s="12"/>
      <c r="Q85" s="12"/>
      <c r="R85" s="12"/>
      <c r="S85" s="12"/>
      <c r="T85" s="12"/>
    </row>
    <row r="86" spans="1:20" ht="15.75" thickBot="1" x14ac:dyDescent="0.3">
      <c r="A86" s="324"/>
      <c r="B86" s="197" t="s">
        <v>116</v>
      </c>
      <c r="C86" s="217">
        <f>$C$42*C85</f>
        <v>16500</v>
      </c>
      <c r="D86" s="217">
        <f t="shared" ref="D86:L86" si="14">$C$42*D85</f>
        <v>26664</v>
      </c>
      <c r="E86" s="217">
        <f t="shared" si="14"/>
        <v>36828</v>
      </c>
      <c r="F86" s="217">
        <f t="shared" si="14"/>
        <v>36828</v>
      </c>
      <c r="G86" s="217">
        <f t="shared" si="14"/>
        <v>36828</v>
      </c>
      <c r="H86" s="217">
        <f t="shared" si="14"/>
        <v>36828</v>
      </c>
      <c r="I86" s="217">
        <f t="shared" si="14"/>
        <v>36828</v>
      </c>
      <c r="J86" s="217">
        <f t="shared" si="14"/>
        <v>36828</v>
      </c>
      <c r="K86" s="217">
        <f t="shared" si="14"/>
        <v>36828</v>
      </c>
      <c r="L86" s="218">
        <f t="shared" si="14"/>
        <v>36828</v>
      </c>
      <c r="M86" s="49"/>
      <c r="N86" s="12"/>
      <c r="O86" s="12"/>
      <c r="P86" s="12"/>
      <c r="Q86" s="12"/>
      <c r="R86" s="12"/>
      <c r="S86" s="12"/>
      <c r="T86" s="12"/>
    </row>
    <row r="87" spans="1:20" x14ac:dyDescent="0.25">
      <c r="A87" s="241"/>
      <c r="B87" s="12"/>
      <c r="C87" s="11"/>
      <c r="D87" s="11"/>
      <c r="E87" s="11"/>
      <c r="F87" s="11"/>
      <c r="G87" s="11"/>
      <c r="H87" s="11"/>
      <c r="I87" s="11"/>
      <c r="J87" s="11"/>
      <c r="K87" s="11"/>
      <c r="L87" s="11"/>
      <c r="M87" s="11"/>
      <c r="N87" s="12"/>
      <c r="O87" s="12"/>
      <c r="P87" s="12"/>
      <c r="Q87" s="12"/>
      <c r="R87" s="12"/>
      <c r="S87" s="12"/>
      <c r="T87" s="12"/>
    </row>
    <row r="88" spans="1:20" ht="21" thickBot="1" x14ac:dyDescent="0.3">
      <c r="A88" s="53"/>
      <c r="B88" s="187" t="s">
        <v>151</v>
      </c>
      <c r="N88" s="183"/>
      <c r="O88" s="12"/>
      <c r="P88" s="12"/>
      <c r="Q88" s="12"/>
      <c r="R88" s="12"/>
      <c r="S88" s="12"/>
      <c r="T88" s="12"/>
    </row>
    <row r="89" spans="1:20" x14ac:dyDescent="0.25">
      <c r="A89" s="325"/>
      <c r="B89" s="55" t="s">
        <v>12</v>
      </c>
      <c r="C89" s="124">
        <v>0</v>
      </c>
      <c r="D89" s="124">
        <v>1</v>
      </c>
      <c r="E89" s="124">
        <v>2</v>
      </c>
      <c r="F89" s="124">
        <v>3</v>
      </c>
      <c r="G89" s="124">
        <v>4</v>
      </c>
      <c r="H89" s="124">
        <v>5</v>
      </c>
      <c r="I89" s="124">
        <v>6</v>
      </c>
      <c r="J89" s="124">
        <v>7</v>
      </c>
      <c r="K89" s="124">
        <v>8</v>
      </c>
      <c r="L89" s="124">
        <v>9</v>
      </c>
      <c r="M89" s="125">
        <v>10</v>
      </c>
      <c r="N89" s="242"/>
      <c r="O89" s="12"/>
      <c r="P89" s="12"/>
      <c r="Q89" s="12"/>
      <c r="R89" s="12"/>
      <c r="S89" s="12"/>
      <c r="T89" s="12"/>
    </row>
    <row r="90" spans="1:20" ht="16.5" thickBot="1" x14ac:dyDescent="0.3">
      <c r="A90" s="325"/>
      <c r="B90" s="59" t="s">
        <v>37</v>
      </c>
      <c r="C90" s="207">
        <f>-C32</f>
        <v>-470000</v>
      </c>
      <c r="D90" s="60"/>
      <c r="E90" s="61"/>
      <c r="F90" s="61"/>
      <c r="G90" s="62"/>
      <c r="H90" s="61"/>
      <c r="I90" s="60"/>
      <c r="J90" s="61"/>
      <c r="K90" s="61"/>
      <c r="L90" s="61"/>
      <c r="M90" s="192"/>
      <c r="N90" s="243"/>
      <c r="O90" s="12"/>
      <c r="P90" s="12"/>
      <c r="Q90" s="12"/>
      <c r="R90" s="12"/>
      <c r="S90" s="12"/>
      <c r="T90" s="12"/>
    </row>
    <row r="91" spans="1:20" ht="15.75" customHeight="1" x14ac:dyDescent="0.25">
      <c r="A91" s="325"/>
      <c r="B91" s="59" t="s">
        <v>122</v>
      </c>
      <c r="C91" s="60"/>
      <c r="D91" s="209">
        <f>-$F$73</f>
        <v>-28500</v>
      </c>
      <c r="E91" s="61"/>
      <c r="F91" s="61"/>
      <c r="G91" s="62"/>
      <c r="H91" s="61"/>
      <c r="I91" s="60"/>
      <c r="J91" s="61"/>
      <c r="K91" s="61"/>
      <c r="L91" s="61"/>
      <c r="M91" s="192">
        <f>+$F$73</f>
        <v>28500</v>
      </c>
      <c r="N91" s="243"/>
      <c r="O91" s="306" t="s">
        <v>153</v>
      </c>
      <c r="P91" s="307"/>
      <c r="Q91" s="308"/>
      <c r="R91" s="12"/>
      <c r="S91" s="12"/>
      <c r="T91" s="12"/>
    </row>
    <row r="92" spans="1:20" x14ac:dyDescent="0.25">
      <c r="A92" s="325"/>
      <c r="B92" s="59" t="s">
        <v>38</v>
      </c>
      <c r="C92" s="61"/>
      <c r="D92" s="211">
        <f t="shared" ref="D92:L92" si="15">C79</f>
        <v>213600</v>
      </c>
      <c r="E92" s="211">
        <f t="shared" si="15"/>
        <v>284800</v>
      </c>
      <c r="F92" s="211">
        <f t="shared" si="15"/>
        <v>356000</v>
      </c>
      <c r="G92" s="211">
        <f t="shared" si="15"/>
        <v>356000</v>
      </c>
      <c r="H92" s="211">
        <f t="shared" si="15"/>
        <v>356000</v>
      </c>
      <c r="I92" s="211">
        <f t="shared" si="15"/>
        <v>356000</v>
      </c>
      <c r="J92" s="211">
        <f t="shared" si="15"/>
        <v>356000</v>
      </c>
      <c r="K92" s="211">
        <f t="shared" si="15"/>
        <v>356000</v>
      </c>
      <c r="L92" s="211">
        <f t="shared" si="15"/>
        <v>356000</v>
      </c>
      <c r="M92" s="212">
        <f>L79</f>
        <v>356000</v>
      </c>
      <c r="N92" s="51"/>
      <c r="O92" s="309"/>
      <c r="P92" s="310"/>
      <c r="Q92" s="311"/>
      <c r="R92" s="12"/>
      <c r="S92" s="12"/>
      <c r="T92" s="12"/>
    </row>
    <row r="93" spans="1:20" x14ac:dyDescent="0.25">
      <c r="A93" s="325"/>
      <c r="B93" s="59" t="s">
        <v>39</v>
      </c>
      <c r="C93" s="61"/>
      <c r="D93" s="216">
        <f t="shared" ref="D93:L93" si="16">-C80</f>
        <v>-105000</v>
      </c>
      <c r="E93" s="216">
        <f t="shared" si="16"/>
        <v>-130000</v>
      </c>
      <c r="F93" s="216">
        <f t="shared" si="16"/>
        <v>-155000</v>
      </c>
      <c r="G93" s="216">
        <f t="shared" si="16"/>
        <v>-155000</v>
      </c>
      <c r="H93" s="216">
        <f t="shared" si="16"/>
        <v>-155000</v>
      </c>
      <c r="I93" s="216">
        <f t="shared" si="16"/>
        <v>-155000</v>
      </c>
      <c r="J93" s="216">
        <f t="shared" si="16"/>
        <v>-155000</v>
      </c>
      <c r="K93" s="216">
        <f t="shared" si="16"/>
        <v>-155000</v>
      </c>
      <c r="L93" s="216">
        <f t="shared" si="16"/>
        <v>-155000</v>
      </c>
      <c r="M93" s="244">
        <f>-L80</f>
        <v>-155000</v>
      </c>
      <c r="N93" s="51"/>
      <c r="O93" s="309"/>
      <c r="P93" s="310"/>
      <c r="Q93" s="311"/>
      <c r="R93" s="12"/>
      <c r="S93" s="12"/>
      <c r="T93" s="12"/>
    </row>
    <row r="94" spans="1:20" ht="15.75" thickBot="1" x14ac:dyDescent="0.3">
      <c r="A94" s="325"/>
      <c r="B94" s="59" t="s">
        <v>117</v>
      </c>
      <c r="C94" s="61"/>
      <c r="D94" s="219">
        <f t="shared" ref="D94:L94" si="17">-C86</f>
        <v>-16500</v>
      </c>
      <c r="E94" s="219">
        <f t="shared" si="17"/>
        <v>-26664</v>
      </c>
      <c r="F94" s="219">
        <f t="shared" si="17"/>
        <v>-36828</v>
      </c>
      <c r="G94" s="219">
        <f t="shared" si="17"/>
        <v>-36828</v>
      </c>
      <c r="H94" s="219">
        <f t="shared" si="17"/>
        <v>-36828</v>
      </c>
      <c r="I94" s="219">
        <f t="shared" si="17"/>
        <v>-36828</v>
      </c>
      <c r="J94" s="219">
        <f t="shared" si="17"/>
        <v>-36828</v>
      </c>
      <c r="K94" s="219">
        <f t="shared" si="17"/>
        <v>-36828</v>
      </c>
      <c r="L94" s="219">
        <f t="shared" si="17"/>
        <v>-36828</v>
      </c>
      <c r="M94" s="245">
        <f>-L86</f>
        <v>-36828</v>
      </c>
      <c r="N94" s="51"/>
      <c r="O94" s="312"/>
      <c r="P94" s="313"/>
      <c r="Q94" s="314"/>
      <c r="R94" s="12"/>
      <c r="S94" s="12"/>
      <c r="T94" s="12"/>
    </row>
    <row r="95" spans="1:20" ht="16.5" thickBot="1" x14ac:dyDescent="0.3">
      <c r="A95" s="325"/>
      <c r="B95" s="97" t="s">
        <v>152</v>
      </c>
      <c r="C95" s="168"/>
      <c r="D95" s="168"/>
      <c r="E95" s="168"/>
      <c r="F95" s="168"/>
      <c r="G95" s="169"/>
      <c r="H95" s="165"/>
      <c r="I95" s="168"/>
      <c r="J95" s="168"/>
      <c r="K95" s="168"/>
      <c r="L95" s="168"/>
      <c r="M95" s="220">
        <f>+G67</f>
        <v>157000</v>
      </c>
      <c r="N95" s="51"/>
      <c r="O95" s="12"/>
      <c r="P95" s="12"/>
      <c r="Q95" s="12"/>
      <c r="R95" s="12"/>
      <c r="S95" s="12"/>
      <c r="T95" s="12"/>
    </row>
    <row r="96" spans="1:20" ht="15.75" thickBot="1" x14ac:dyDescent="0.3">
      <c r="A96" s="325"/>
      <c r="B96" s="246" t="s">
        <v>42</v>
      </c>
      <c r="C96" s="247">
        <f>SUM(C90:C95)</f>
        <v>-470000</v>
      </c>
      <c r="D96" s="247">
        <f>SUM(D90:D95)</f>
        <v>63600</v>
      </c>
      <c r="E96" s="247">
        <f t="shared" ref="E96:M96" si="18">SUM(E90:E95)</f>
        <v>128136</v>
      </c>
      <c r="F96" s="247">
        <f t="shared" si="18"/>
        <v>164172</v>
      </c>
      <c r="G96" s="247">
        <f t="shared" si="18"/>
        <v>164172</v>
      </c>
      <c r="H96" s="247">
        <f t="shared" si="18"/>
        <v>164172</v>
      </c>
      <c r="I96" s="247">
        <f t="shared" si="18"/>
        <v>164172</v>
      </c>
      <c r="J96" s="247">
        <f t="shared" si="18"/>
        <v>164172</v>
      </c>
      <c r="K96" s="247">
        <f t="shared" si="18"/>
        <v>164172</v>
      </c>
      <c r="L96" s="247">
        <f t="shared" si="18"/>
        <v>164172</v>
      </c>
      <c r="M96" s="248">
        <f t="shared" si="18"/>
        <v>349672</v>
      </c>
      <c r="N96" s="51"/>
      <c r="O96" s="335"/>
      <c r="P96" s="336"/>
      <c r="Q96" s="336"/>
      <c r="R96" s="336"/>
      <c r="S96" s="12"/>
      <c r="T96" s="12"/>
    </row>
    <row r="97" spans="1:20" ht="33.75" x14ac:dyDescent="0.25">
      <c r="A97" s="68"/>
      <c r="B97" s="69"/>
      <c r="C97" s="51"/>
      <c r="D97" s="51"/>
      <c r="E97" s="51"/>
      <c r="F97" s="51"/>
      <c r="G97" s="51"/>
      <c r="H97" s="51"/>
      <c r="I97" s="51"/>
      <c r="J97" s="51"/>
      <c r="K97" s="51"/>
      <c r="L97" s="51"/>
      <c r="M97" s="51"/>
      <c r="N97" s="51"/>
      <c r="O97" s="70"/>
      <c r="P97" s="71"/>
      <c r="Q97" s="71"/>
      <c r="R97" s="71"/>
      <c r="S97" s="12"/>
      <c r="T97" s="12"/>
    </row>
    <row r="98" spans="1:20" ht="21" customHeight="1" thickBot="1" x14ac:dyDescent="0.35">
      <c r="A98" s="1"/>
      <c r="B98" s="186" t="s">
        <v>67</v>
      </c>
      <c r="C98" s="11"/>
      <c r="D98" s="11"/>
      <c r="E98" s="11"/>
      <c r="F98" s="11"/>
      <c r="G98" s="38"/>
      <c r="H98" s="101"/>
      <c r="I98" s="38"/>
      <c r="J98" s="11"/>
      <c r="K98" s="310"/>
      <c r="L98" s="310"/>
      <c r="M98" s="310"/>
      <c r="N98" s="12"/>
      <c r="O98" s="12"/>
      <c r="P98" s="12"/>
      <c r="Q98" s="12"/>
      <c r="R98" s="12"/>
      <c r="S98" s="12"/>
      <c r="T98" s="12"/>
    </row>
    <row r="99" spans="1:20" x14ac:dyDescent="0.25">
      <c r="A99" s="12"/>
      <c r="B99" s="131" t="s">
        <v>125</v>
      </c>
      <c r="C99" s="249">
        <f>NPV(C100, D96:M96)+C96</f>
        <v>192134.5912373407</v>
      </c>
      <c r="D99" s="11"/>
      <c r="E99" s="11"/>
      <c r="F99" s="11"/>
      <c r="G99" s="38"/>
      <c r="H99" s="38"/>
      <c r="I99" s="38"/>
      <c r="J99" s="11"/>
      <c r="K99" s="310"/>
      <c r="L99" s="310"/>
      <c r="M99" s="310"/>
      <c r="N99" s="12"/>
      <c r="O99" s="12"/>
      <c r="P99" s="12"/>
      <c r="Q99" s="12"/>
      <c r="R99" s="12"/>
      <c r="S99" s="12"/>
      <c r="T99" s="12"/>
    </row>
    <row r="100" spans="1:20" ht="15.75" thickBot="1" x14ac:dyDescent="0.3">
      <c r="A100" s="12"/>
      <c r="B100" s="128" t="s">
        <v>64</v>
      </c>
      <c r="C100" s="250">
        <v>0.18</v>
      </c>
      <c r="D100" s="11"/>
      <c r="E100" s="11"/>
      <c r="F100" s="11"/>
      <c r="G100" s="38"/>
      <c r="H100" s="38"/>
      <c r="I100" s="38"/>
      <c r="J100" s="11"/>
      <c r="K100" s="310"/>
      <c r="L100" s="310"/>
      <c r="M100" s="310"/>
      <c r="N100" s="12"/>
      <c r="O100" s="12"/>
      <c r="P100" s="12"/>
      <c r="Q100" s="12"/>
      <c r="R100" s="12"/>
      <c r="S100" s="12"/>
      <c r="T100" s="12"/>
    </row>
    <row r="101" spans="1:20" x14ac:dyDescent="0.25">
      <c r="A101" s="12"/>
      <c r="B101" s="128" t="s">
        <v>44</v>
      </c>
      <c r="C101" s="233">
        <f>IRR(C96:M96, 17%)</f>
        <v>0.26866647839986246</v>
      </c>
      <c r="D101" s="11"/>
      <c r="E101" s="337" t="s">
        <v>124</v>
      </c>
      <c r="F101" s="338"/>
      <c r="G101" s="338"/>
      <c r="H101" s="339"/>
      <c r="I101" s="38"/>
      <c r="J101" s="11"/>
      <c r="K101" s="310"/>
      <c r="L101" s="310"/>
      <c r="M101" s="310"/>
      <c r="N101" s="12"/>
      <c r="O101" s="12"/>
      <c r="P101" s="12"/>
      <c r="Q101" s="12"/>
      <c r="R101" s="12"/>
      <c r="S101" s="12"/>
      <c r="T101" s="12"/>
    </row>
    <row r="102" spans="1:20" x14ac:dyDescent="0.25">
      <c r="A102" s="12"/>
      <c r="B102" s="132" t="s">
        <v>37</v>
      </c>
      <c r="C102" s="130">
        <f>+-C90</f>
        <v>470000</v>
      </c>
      <c r="D102" s="11"/>
      <c r="E102" s="340"/>
      <c r="F102" s="341"/>
      <c r="G102" s="341"/>
      <c r="H102" s="342"/>
      <c r="I102" s="38"/>
      <c r="J102" s="11"/>
      <c r="K102" s="11"/>
      <c r="L102" s="11"/>
      <c r="M102" s="11"/>
      <c r="N102" s="12"/>
      <c r="O102" s="12"/>
      <c r="P102" s="12"/>
      <c r="Q102" s="12"/>
      <c r="R102" s="12"/>
      <c r="S102" s="12"/>
      <c r="T102" s="12"/>
    </row>
    <row r="103" spans="1:20" x14ac:dyDescent="0.25">
      <c r="A103" s="12"/>
      <c r="B103" s="128"/>
      <c r="C103" s="127"/>
      <c r="D103" s="72"/>
      <c r="E103" s="340"/>
      <c r="F103" s="341"/>
      <c r="G103" s="341"/>
      <c r="H103" s="342"/>
      <c r="I103" s="38"/>
      <c r="J103" s="11"/>
      <c r="K103" s="11"/>
      <c r="L103" s="11"/>
      <c r="M103" s="11"/>
      <c r="N103" s="12"/>
      <c r="O103" s="12"/>
      <c r="P103" s="12"/>
      <c r="Q103" s="12"/>
      <c r="R103" s="12"/>
      <c r="S103" s="12"/>
      <c r="T103" s="12"/>
    </row>
    <row r="104" spans="1:20" ht="15.75" thickBot="1" x14ac:dyDescent="0.3">
      <c r="A104" s="12"/>
      <c r="B104" s="128" t="s">
        <v>77</v>
      </c>
      <c r="C104" s="234">
        <f>+C99/C102</f>
        <v>0.40879700263263979</v>
      </c>
      <c r="D104" s="73"/>
      <c r="E104" s="343"/>
      <c r="F104" s="344"/>
      <c r="G104" s="344"/>
      <c r="H104" s="345"/>
      <c r="I104" s="102"/>
      <c r="J104" s="11"/>
      <c r="K104" s="11"/>
      <c r="L104" s="11"/>
      <c r="M104" s="11"/>
      <c r="N104" s="12"/>
      <c r="O104" s="12"/>
      <c r="P104" s="12"/>
      <c r="Q104" s="12"/>
      <c r="R104" s="12"/>
      <c r="S104" s="12"/>
      <c r="T104" s="12"/>
    </row>
    <row r="105" spans="1:20" x14ac:dyDescent="0.25">
      <c r="A105" s="12"/>
      <c r="B105" s="128" t="s">
        <v>65</v>
      </c>
      <c r="C105" s="130">
        <f>NPV(C100,D96:M96)</f>
        <v>662134.5912373407</v>
      </c>
      <c r="D105" s="73"/>
      <c r="E105" s="73"/>
      <c r="F105" s="73"/>
      <c r="G105" s="73"/>
      <c r="H105" s="38"/>
      <c r="I105" s="102"/>
      <c r="J105" s="11"/>
      <c r="K105" s="11"/>
      <c r="L105" s="11"/>
      <c r="M105" s="11"/>
      <c r="N105" s="12"/>
      <c r="O105" s="12"/>
      <c r="P105" s="12"/>
      <c r="Q105" s="12"/>
      <c r="R105" s="12"/>
      <c r="S105" s="12"/>
      <c r="T105" s="12"/>
    </row>
    <row r="106" spans="1:20" x14ac:dyDescent="0.25">
      <c r="A106" s="12"/>
      <c r="B106" s="128" t="s">
        <v>66</v>
      </c>
      <c r="C106" s="130">
        <f>-+C96</f>
        <v>470000</v>
      </c>
      <c r="D106" s="73"/>
      <c r="E106" s="73"/>
      <c r="F106" s="73"/>
      <c r="G106" s="73"/>
      <c r="H106" s="38"/>
      <c r="I106" s="102"/>
      <c r="J106" s="11"/>
      <c r="K106" s="11"/>
      <c r="L106" s="11"/>
      <c r="M106" s="11"/>
      <c r="N106" s="12"/>
      <c r="O106" s="12"/>
      <c r="P106" s="12"/>
      <c r="Q106" s="12"/>
      <c r="R106" s="12"/>
      <c r="S106" s="12"/>
      <c r="T106" s="12"/>
    </row>
    <row r="107" spans="1:20" ht="15.75" thickBot="1" x14ac:dyDescent="0.3">
      <c r="A107" s="12"/>
      <c r="B107" s="129" t="s">
        <v>173</v>
      </c>
      <c r="C107" s="251">
        <f>+C105/C106</f>
        <v>1.4087970026326397</v>
      </c>
      <c r="D107" s="73"/>
      <c r="E107" s="73"/>
      <c r="F107" s="73"/>
      <c r="G107" s="73"/>
      <c r="H107" s="38"/>
      <c r="I107" s="102"/>
      <c r="J107" s="11"/>
      <c r="K107" s="11"/>
      <c r="L107" s="11"/>
      <c r="M107" s="11"/>
      <c r="N107" s="12"/>
      <c r="O107" s="12"/>
      <c r="P107" s="12"/>
      <c r="Q107" s="12"/>
      <c r="R107" s="12"/>
      <c r="S107" s="12"/>
      <c r="T107" s="12"/>
    </row>
    <row r="108" spans="1:20" x14ac:dyDescent="0.25">
      <c r="A108" s="12"/>
      <c r="B108" s="126"/>
      <c r="C108" s="102"/>
      <c r="D108" s="73"/>
      <c r="E108" s="73"/>
      <c r="F108" s="73"/>
      <c r="G108" s="73"/>
      <c r="H108" s="38"/>
      <c r="I108" s="102"/>
      <c r="J108" s="11"/>
      <c r="K108" s="11"/>
      <c r="L108" s="11"/>
      <c r="M108" s="11"/>
      <c r="N108" s="12"/>
      <c r="O108" s="12"/>
      <c r="P108" s="12"/>
      <c r="Q108" s="12"/>
      <c r="R108" s="12"/>
      <c r="S108" s="12"/>
      <c r="T108" s="12"/>
    </row>
    <row r="109" spans="1:20" x14ac:dyDescent="0.25">
      <c r="A109" s="12"/>
      <c r="B109" s="12"/>
      <c r="C109" s="11"/>
      <c r="D109" s="11"/>
      <c r="E109" s="11"/>
      <c r="F109" s="11"/>
      <c r="G109" s="38"/>
      <c r="H109" s="38"/>
      <c r="I109" s="38"/>
      <c r="J109" s="11"/>
      <c r="K109" s="11"/>
      <c r="L109" s="11"/>
      <c r="M109" s="11"/>
      <c r="N109" s="12"/>
      <c r="O109" s="12"/>
      <c r="P109" s="12"/>
      <c r="Q109" s="12"/>
      <c r="R109" s="12"/>
      <c r="S109" s="12"/>
      <c r="T109" s="12"/>
    </row>
    <row r="110" spans="1:20" ht="23.25" x14ac:dyDescent="0.35">
      <c r="A110" s="12"/>
      <c r="B110" s="269" t="s">
        <v>165</v>
      </c>
      <c r="C110" s="11"/>
      <c r="D110" s="11"/>
      <c r="E110" s="11"/>
      <c r="F110" s="11"/>
      <c r="G110" s="38"/>
      <c r="H110" s="38"/>
      <c r="I110" s="38"/>
      <c r="J110" s="11"/>
      <c r="K110" s="11"/>
      <c r="L110" s="11"/>
      <c r="M110" s="11"/>
      <c r="N110" s="12"/>
      <c r="O110" s="12"/>
      <c r="P110" s="12"/>
      <c r="Q110" s="12"/>
      <c r="R110" s="12"/>
      <c r="S110" s="12"/>
      <c r="T110" s="12"/>
    </row>
    <row r="111" spans="1:20" x14ac:dyDescent="0.25">
      <c r="A111" s="12"/>
      <c r="B111" s="12"/>
      <c r="C111" s="11"/>
      <c r="D111" s="11"/>
      <c r="E111" s="11"/>
      <c r="F111" s="11"/>
      <c r="G111" s="38"/>
      <c r="H111" s="103"/>
      <c r="I111" s="38"/>
      <c r="J111" s="11"/>
      <c r="K111" s="11"/>
      <c r="L111" s="11"/>
      <c r="M111" s="11"/>
      <c r="N111" s="12"/>
      <c r="O111" s="12"/>
      <c r="P111" s="12"/>
      <c r="Q111" s="12"/>
      <c r="R111" s="12"/>
      <c r="S111" s="12"/>
      <c r="T111" s="12"/>
    </row>
    <row r="112" spans="1:20" ht="16.5" thickBot="1" x14ac:dyDescent="0.3">
      <c r="A112" s="12"/>
      <c r="B112" s="186" t="s">
        <v>154</v>
      </c>
      <c r="C112" s="11"/>
      <c r="D112" s="11"/>
      <c r="E112" s="11"/>
      <c r="F112" s="11"/>
      <c r="G112" s="11"/>
      <c r="H112" s="11"/>
      <c r="I112" s="11"/>
      <c r="J112" s="11"/>
      <c r="K112" s="11"/>
      <c r="L112" s="11"/>
      <c r="M112" s="11"/>
      <c r="N112" s="12"/>
      <c r="O112" s="12"/>
      <c r="P112" s="12"/>
      <c r="Q112" s="12"/>
      <c r="R112" s="12"/>
      <c r="S112" s="12"/>
      <c r="T112" s="12"/>
    </row>
    <row r="113" spans="1:20" ht="15.75" thickBot="1" x14ac:dyDescent="0.3">
      <c r="A113" s="12"/>
      <c r="B113" s="75" t="s">
        <v>156</v>
      </c>
      <c r="C113" s="76">
        <f>C32</f>
        <v>470000</v>
      </c>
      <c r="D113" s="11"/>
      <c r="E113" s="11"/>
      <c r="F113" s="11"/>
      <c r="G113" s="11"/>
      <c r="H113" s="11"/>
      <c r="I113" s="11"/>
      <c r="J113" s="11"/>
      <c r="K113" s="11"/>
      <c r="L113" s="11"/>
      <c r="M113" s="11"/>
      <c r="N113" s="12"/>
      <c r="O113" s="12"/>
      <c r="P113" s="12"/>
      <c r="Q113" s="12"/>
      <c r="R113" s="12"/>
      <c r="S113" s="12"/>
      <c r="T113" s="12"/>
    </row>
    <row r="114" spans="1:20" x14ac:dyDescent="0.25">
      <c r="A114" s="12"/>
      <c r="B114" s="184" t="s">
        <v>120</v>
      </c>
      <c r="C114" s="193">
        <v>0.7</v>
      </c>
      <c r="D114" s="11"/>
      <c r="E114" s="306" t="s">
        <v>155</v>
      </c>
      <c r="F114" s="307"/>
      <c r="G114" s="307"/>
      <c r="H114" s="308"/>
      <c r="I114" s="11"/>
      <c r="J114" s="11"/>
      <c r="K114" s="11"/>
      <c r="L114" s="11"/>
      <c r="M114" s="11"/>
      <c r="N114" s="12"/>
      <c r="O114" s="12"/>
      <c r="P114" s="12"/>
      <c r="Q114" s="12"/>
      <c r="R114" s="12"/>
      <c r="S114" s="12"/>
      <c r="T114" s="12"/>
    </row>
    <row r="115" spans="1:20" x14ac:dyDescent="0.25">
      <c r="A115" s="12"/>
      <c r="B115" s="77" t="s">
        <v>157</v>
      </c>
      <c r="C115" s="78">
        <f>C113*C114</f>
        <v>329000</v>
      </c>
      <c r="D115" s="11"/>
      <c r="E115" s="309"/>
      <c r="F115" s="310"/>
      <c r="G115" s="310"/>
      <c r="H115" s="311"/>
      <c r="I115" s="11"/>
      <c r="J115" s="11"/>
      <c r="K115" s="11"/>
      <c r="L115" s="11"/>
      <c r="M115" s="11"/>
      <c r="N115" s="12"/>
      <c r="O115" s="12"/>
      <c r="P115" s="12"/>
      <c r="Q115" s="12"/>
      <c r="R115" s="12"/>
      <c r="S115" s="12"/>
      <c r="T115" s="12"/>
    </row>
    <row r="116" spans="1:20" ht="15.75" thickBot="1" x14ac:dyDescent="0.3">
      <c r="A116" s="12"/>
      <c r="B116" s="77" t="s">
        <v>158</v>
      </c>
      <c r="C116" s="79">
        <f>11%*(1+$C$187)</f>
        <v>0.11</v>
      </c>
      <c r="D116" s="11"/>
      <c r="E116" s="312"/>
      <c r="F116" s="313"/>
      <c r="G116" s="313"/>
      <c r="H116" s="314"/>
      <c r="I116" s="11"/>
      <c r="J116" s="11"/>
      <c r="K116" s="11"/>
      <c r="L116" s="11"/>
      <c r="M116" s="11"/>
      <c r="N116" s="12"/>
      <c r="O116" s="12"/>
      <c r="P116" s="12"/>
      <c r="Q116" s="12"/>
      <c r="R116" s="12"/>
      <c r="S116" s="12"/>
      <c r="T116" s="12"/>
    </row>
    <row r="117" spans="1:20" x14ac:dyDescent="0.25">
      <c r="A117" s="12"/>
      <c r="B117" s="77" t="s">
        <v>159</v>
      </c>
      <c r="C117" s="80">
        <v>10</v>
      </c>
      <c r="D117" s="11"/>
      <c r="E117" s="11"/>
      <c r="F117" s="11"/>
      <c r="G117" s="11"/>
      <c r="H117" s="11"/>
      <c r="I117" s="11"/>
      <c r="J117" s="11"/>
      <c r="K117" s="11"/>
      <c r="L117" s="11"/>
      <c r="M117" s="11"/>
      <c r="N117" s="12"/>
      <c r="O117" s="12"/>
      <c r="P117" s="12"/>
      <c r="Q117" s="12"/>
      <c r="R117" s="12"/>
      <c r="S117" s="12"/>
      <c r="T117" s="12"/>
    </row>
    <row r="118" spans="1:20" ht="15.75" thickBot="1" x14ac:dyDescent="0.3">
      <c r="A118" s="12"/>
      <c r="B118" s="81" t="s">
        <v>160</v>
      </c>
      <c r="C118" s="82">
        <f>PMT(C116,C117,C115)</f>
        <v>-55864.669515074318</v>
      </c>
      <c r="D118" s="11"/>
      <c r="E118" s="11"/>
      <c r="F118" s="11"/>
      <c r="G118" s="11"/>
      <c r="H118" s="11"/>
      <c r="I118" s="11"/>
      <c r="J118" s="11"/>
      <c r="K118" s="11"/>
      <c r="L118" s="11"/>
      <c r="M118" s="11"/>
      <c r="N118" s="12"/>
      <c r="O118" s="12"/>
      <c r="P118" s="12"/>
      <c r="Q118" s="12"/>
      <c r="R118" s="12"/>
      <c r="S118" s="12"/>
      <c r="T118" s="12"/>
    </row>
    <row r="119" spans="1:20" x14ac:dyDescent="0.25">
      <c r="A119" s="12"/>
      <c r="B119" s="12"/>
      <c r="C119" s="11"/>
      <c r="D119" s="11"/>
      <c r="E119" s="11"/>
      <c r="F119" s="11"/>
      <c r="G119" s="11"/>
      <c r="H119" s="11"/>
      <c r="I119" s="11"/>
      <c r="J119" s="11"/>
      <c r="K119" s="11"/>
      <c r="L119" s="11"/>
      <c r="M119" s="11"/>
      <c r="N119" s="12"/>
      <c r="O119" s="12"/>
      <c r="P119" s="12"/>
      <c r="Q119" s="12"/>
      <c r="R119" s="12"/>
      <c r="S119" s="12"/>
      <c r="T119" s="12"/>
    </row>
    <row r="120" spans="1:20" ht="16.5" thickBot="1" x14ac:dyDescent="0.3">
      <c r="A120" s="12"/>
      <c r="B120" s="186" t="s">
        <v>161</v>
      </c>
      <c r="C120" s="11"/>
      <c r="D120" s="11"/>
      <c r="E120" s="11"/>
      <c r="F120" s="11"/>
      <c r="G120" s="11"/>
      <c r="H120" s="11"/>
      <c r="I120" s="11"/>
      <c r="J120" s="11"/>
      <c r="K120" s="11"/>
      <c r="L120" s="11"/>
      <c r="M120" s="11"/>
      <c r="N120" s="12"/>
      <c r="O120" s="12"/>
      <c r="P120" s="12"/>
      <c r="Q120" s="12"/>
      <c r="R120" s="12"/>
      <c r="S120" s="12"/>
      <c r="T120" s="12"/>
    </row>
    <row r="121" spans="1:20" ht="31.5" x14ac:dyDescent="0.25">
      <c r="A121" s="12"/>
      <c r="B121" s="83" t="s">
        <v>12</v>
      </c>
      <c r="C121" s="84" t="s">
        <v>52</v>
      </c>
      <c r="D121" s="115" t="s">
        <v>53</v>
      </c>
      <c r="E121" s="115" t="s">
        <v>54</v>
      </c>
      <c r="F121" s="85" t="s">
        <v>55</v>
      </c>
      <c r="G121" s="11"/>
      <c r="H121" s="11"/>
      <c r="I121" s="11"/>
      <c r="J121" s="11"/>
      <c r="K121" s="11"/>
      <c r="L121" s="86"/>
      <c r="M121" s="11"/>
      <c r="N121" s="12"/>
      <c r="O121" s="12"/>
      <c r="P121" s="12"/>
      <c r="Q121" s="12"/>
      <c r="R121" s="12"/>
      <c r="S121" s="12"/>
      <c r="T121" s="12"/>
    </row>
    <row r="122" spans="1:20" ht="15.75" x14ac:dyDescent="0.25">
      <c r="A122" s="12"/>
      <c r="B122" s="87">
        <v>1</v>
      </c>
      <c r="C122" s="224">
        <f>+C115</f>
        <v>329000</v>
      </c>
      <c r="D122" s="225">
        <f>-$C$118</f>
        <v>55864.669515074318</v>
      </c>
      <c r="E122" s="226">
        <f t="shared" ref="E122:E131" si="19">$C$116*C122</f>
        <v>36190</v>
      </c>
      <c r="F122" s="227">
        <f>D122-E122</f>
        <v>19674.669515074318</v>
      </c>
      <c r="G122" s="11"/>
      <c r="H122" s="11"/>
      <c r="I122" s="11"/>
      <c r="J122" s="11"/>
      <c r="K122" s="11"/>
      <c r="L122" s="11"/>
      <c r="M122" s="11"/>
      <c r="N122" s="12"/>
      <c r="O122" s="12"/>
      <c r="P122" s="12"/>
      <c r="Q122" s="12"/>
      <c r="R122" s="12"/>
      <c r="S122" s="12"/>
      <c r="T122" s="12"/>
    </row>
    <row r="123" spans="1:20" ht="16.5" thickBot="1" x14ac:dyDescent="0.3">
      <c r="A123" s="12"/>
      <c r="B123" s="87">
        <v>2</v>
      </c>
      <c r="C123" s="225">
        <f t="shared" ref="C123:C131" si="20">C122-F122</f>
        <v>309325.33048492565</v>
      </c>
      <c r="D123" s="225">
        <f t="shared" ref="D123:D131" si="21">-$C$118</f>
        <v>55864.669515074318</v>
      </c>
      <c r="E123" s="226">
        <f t="shared" si="19"/>
        <v>34025.78635334182</v>
      </c>
      <c r="F123" s="227">
        <f t="shared" ref="F123:F131" si="22">D123-E123</f>
        <v>21838.883161732498</v>
      </c>
      <c r="G123" s="11"/>
      <c r="H123" s="11"/>
      <c r="I123" s="11"/>
      <c r="J123" s="11"/>
      <c r="K123" s="11"/>
      <c r="L123" s="92"/>
      <c r="M123" s="11"/>
      <c r="N123" s="12"/>
      <c r="O123" s="12"/>
      <c r="P123" s="12"/>
      <c r="Q123" s="12"/>
      <c r="R123" s="12"/>
      <c r="S123" s="12"/>
      <c r="T123" s="12"/>
    </row>
    <row r="124" spans="1:20" ht="15.75" x14ac:dyDescent="0.25">
      <c r="A124" s="12"/>
      <c r="B124" s="87">
        <v>3</v>
      </c>
      <c r="C124" s="225">
        <f t="shared" si="20"/>
        <v>287486.44732319313</v>
      </c>
      <c r="D124" s="225">
        <f t="shared" si="21"/>
        <v>55864.669515074318</v>
      </c>
      <c r="E124" s="226">
        <f t="shared" si="19"/>
        <v>31623.509205551243</v>
      </c>
      <c r="F124" s="227">
        <f t="shared" si="22"/>
        <v>24241.160309523075</v>
      </c>
      <c r="G124" s="11"/>
      <c r="H124" s="306" t="s">
        <v>162</v>
      </c>
      <c r="I124" s="307"/>
      <c r="J124" s="307"/>
      <c r="K124" s="307"/>
      <c r="L124" s="308"/>
      <c r="M124" s="11"/>
      <c r="N124" s="12"/>
      <c r="O124" s="12"/>
      <c r="P124" s="12"/>
      <c r="Q124" s="12"/>
      <c r="R124" s="12"/>
      <c r="S124" s="12"/>
      <c r="T124" s="12"/>
    </row>
    <row r="125" spans="1:20" ht="15.75" x14ac:dyDescent="0.25">
      <c r="A125" s="12"/>
      <c r="B125" s="87">
        <v>4</v>
      </c>
      <c r="C125" s="225">
        <f t="shared" si="20"/>
        <v>263245.28701367008</v>
      </c>
      <c r="D125" s="225">
        <f t="shared" si="21"/>
        <v>55864.669515074318</v>
      </c>
      <c r="E125" s="226">
        <f t="shared" si="19"/>
        <v>28956.981571503708</v>
      </c>
      <c r="F125" s="227">
        <f t="shared" si="22"/>
        <v>26907.687943570611</v>
      </c>
      <c r="G125" s="11"/>
      <c r="H125" s="309"/>
      <c r="I125" s="310"/>
      <c r="J125" s="310"/>
      <c r="K125" s="310"/>
      <c r="L125" s="311"/>
      <c r="M125" s="11"/>
      <c r="N125" s="12"/>
      <c r="O125" s="12"/>
      <c r="P125" s="12"/>
      <c r="Q125" s="12"/>
      <c r="R125" s="12"/>
      <c r="S125" s="12"/>
      <c r="T125" s="12"/>
    </row>
    <row r="126" spans="1:20" ht="16.5" thickBot="1" x14ac:dyDescent="0.3">
      <c r="A126" s="12"/>
      <c r="B126" s="87">
        <v>5</v>
      </c>
      <c r="C126" s="225">
        <f t="shared" si="20"/>
        <v>236337.59907009947</v>
      </c>
      <c r="D126" s="225">
        <f t="shared" si="21"/>
        <v>55864.669515074318</v>
      </c>
      <c r="E126" s="226">
        <f t="shared" si="19"/>
        <v>25997.135897710941</v>
      </c>
      <c r="F126" s="227">
        <f t="shared" si="22"/>
        <v>29867.533617363377</v>
      </c>
      <c r="G126" s="11"/>
      <c r="H126" s="312"/>
      <c r="I126" s="313"/>
      <c r="J126" s="313"/>
      <c r="K126" s="313"/>
      <c r="L126" s="314"/>
      <c r="M126" s="11"/>
      <c r="N126" s="12"/>
      <c r="O126" s="12"/>
      <c r="P126" s="12"/>
      <c r="Q126" s="12"/>
      <c r="R126" s="12"/>
      <c r="S126" s="12"/>
      <c r="T126" s="12"/>
    </row>
    <row r="127" spans="1:20" ht="15.75" x14ac:dyDescent="0.25">
      <c r="A127" s="12"/>
      <c r="B127" s="87">
        <v>6</v>
      </c>
      <c r="C127" s="225">
        <f t="shared" si="20"/>
        <v>206470.0654527361</v>
      </c>
      <c r="D127" s="225">
        <f t="shared" si="21"/>
        <v>55864.669515074318</v>
      </c>
      <c r="E127" s="226">
        <f t="shared" si="19"/>
        <v>22711.707199800971</v>
      </c>
      <c r="F127" s="227">
        <f t="shared" si="22"/>
        <v>33152.962315273347</v>
      </c>
      <c r="G127" s="11"/>
      <c r="H127" s="11"/>
      <c r="I127" s="11"/>
      <c r="J127" s="11"/>
      <c r="K127" s="11"/>
      <c r="L127" s="94"/>
      <c r="M127" s="11"/>
      <c r="N127" s="12"/>
      <c r="O127" s="12"/>
      <c r="P127" s="12"/>
      <c r="Q127" s="12"/>
      <c r="R127" s="12"/>
      <c r="S127" s="12"/>
      <c r="T127" s="12"/>
    </row>
    <row r="128" spans="1:20" ht="15.75" x14ac:dyDescent="0.25">
      <c r="B128" s="87">
        <v>7</v>
      </c>
      <c r="C128" s="225">
        <f t="shared" si="20"/>
        <v>173317.10313746275</v>
      </c>
      <c r="D128" s="225">
        <f t="shared" si="21"/>
        <v>55864.669515074318</v>
      </c>
      <c r="E128" s="226">
        <f t="shared" si="19"/>
        <v>19064.881345120903</v>
      </c>
      <c r="F128" s="227">
        <f t="shared" si="22"/>
        <v>36799.788169953419</v>
      </c>
    </row>
    <row r="129" spans="2:19" ht="15.75" x14ac:dyDescent="0.25">
      <c r="B129" s="87">
        <v>8</v>
      </c>
      <c r="C129" s="225">
        <f t="shared" si="20"/>
        <v>136517.31496750933</v>
      </c>
      <c r="D129" s="225">
        <f t="shared" si="21"/>
        <v>55864.669515074318</v>
      </c>
      <c r="E129" s="226">
        <f t="shared" si="19"/>
        <v>15016.904646426026</v>
      </c>
      <c r="F129" s="227">
        <f t="shared" si="22"/>
        <v>40847.764868648293</v>
      </c>
    </row>
    <row r="130" spans="2:19" ht="15.75" x14ac:dyDescent="0.25">
      <c r="B130" s="87">
        <v>9</v>
      </c>
      <c r="C130" s="225">
        <f t="shared" si="20"/>
        <v>95669.550098861044</v>
      </c>
      <c r="D130" s="225">
        <f t="shared" si="21"/>
        <v>55864.669515074318</v>
      </c>
      <c r="E130" s="226">
        <f t="shared" si="19"/>
        <v>10523.650510874715</v>
      </c>
      <c r="F130" s="227">
        <f t="shared" si="22"/>
        <v>45341.019004199603</v>
      </c>
    </row>
    <row r="131" spans="2:19" ht="16.5" thickBot="1" x14ac:dyDescent="0.3">
      <c r="B131" s="254">
        <v>10</v>
      </c>
      <c r="C131" s="255">
        <f t="shared" si="20"/>
        <v>50328.531094661441</v>
      </c>
      <c r="D131" s="255">
        <f t="shared" si="21"/>
        <v>55864.669515074318</v>
      </c>
      <c r="E131" s="256">
        <f t="shared" si="19"/>
        <v>5536.1384204127589</v>
      </c>
      <c r="F131" s="257">
        <f t="shared" si="22"/>
        <v>50328.531094661557</v>
      </c>
    </row>
    <row r="132" spans="2:19" x14ac:dyDescent="0.25">
      <c r="B132" s="253"/>
    </row>
    <row r="135" spans="2:19" ht="16.5" thickBot="1" x14ac:dyDescent="0.3">
      <c r="B135" s="186" t="s">
        <v>163</v>
      </c>
    </row>
    <row r="136" spans="2:19" x14ac:dyDescent="0.25">
      <c r="B136" s="44" t="s">
        <v>23</v>
      </c>
      <c r="C136" s="45">
        <v>1</v>
      </c>
      <c r="D136" s="45">
        <v>2</v>
      </c>
      <c r="E136" s="45">
        <v>3</v>
      </c>
      <c r="F136" s="45">
        <v>4</v>
      </c>
      <c r="G136" s="45">
        <v>5</v>
      </c>
      <c r="H136" s="45">
        <v>6</v>
      </c>
      <c r="I136" s="45">
        <v>7</v>
      </c>
      <c r="J136" s="45">
        <v>8</v>
      </c>
      <c r="K136" s="45">
        <v>9</v>
      </c>
      <c r="L136" s="46">
        <v>10</v>
      </c>
      <c r="M136" s="26"/>
      <c r="N136" s="12"/>
    </row>
    <row r="137" spans="2:19" x14ac:dyDescent="0.25">
      <c r="B137" s="23" t="s">
        <v>24</v>
      </c>
      <c r="C137" s="33">
        <f t="shared" ref="C137:L137" si="23">C77</f>
        <v>240000</v>
      </c>
      <c r="D137" s="33">
        <f t="shared" si="23"/>
        <v>320000</v>
      </c>
      <c r="E137" s="33">
        <f t="shared" si="23"/>
        <v>400000</v>
      </c>
      <c r="F137" s="33">
        <f t="shared" si="23"/>
        <v>400000</v>
      </c>
      <c r="G137" s="33">
        <f t="shared" si="23"/>
        <v>400000</v>
      </c>
      <c r="H137" s="33">
        <f t="shared" si="23"/>
        <v>400000</v>
      </c>
      <c r="I137" s="33">
        <f t="shared" si="23"/>
        <v>400000</v>
      </c>
      <c r="J137" s="33">
        <f t="shared" si="23"/>
        <v>400000</v>
      </c>
      <c r="K137" s="33">
        <f t="shared" si="23"/>
        <v>400000</v>
      </c>
      <c r="L137" s="33">
        <f t="shared" si="23"/>
        <v>400000</v>
      </c>
      <c r="M137" s="37"/>
      <c r="N137" s="12"/>
    </row>
    <row r="138" spans="2:19" ht="15.75" thickBot="1" x14ac:dyDescent="0.3">
      <c r="B138" s="23" t="s">
        <v>171</v>
      </c>
      <c r="C138" s="33">
        <f>C137*$C$41</f>
        <v>26400</v>
      </c>
      <c r="D138" s="33">
        <f t="shared" ref="D138:L138" si="24">D137*$C$41</f>
        <v>35200</v>
      </c>
      <c r="E138" s="33">
        <f t="shared" si="24"/>
        <v>44000</v>
      </c>
      <c r="F138" s="33">
        <f t="shared" si="24"/>
        <v>44000</v>
      </c>
      <c r="G138" s="33">
        <f t="shared" si="24"/>
        <v>44000</v>
      </c>
      <c r="H138" s="33">
        <f t="shared" si="24"/>
        <v>44000</v>
      </c>
      <c r="I138" s="33">
        <f t="shared" si="24"/>
        <v>44000</v>
      </c>
      <c r="J138" s="33">
        <f t="shared" si="24"/>
        <v>44000</v>
      </c>
      <c r="K138" s="33">
        <f t="shared" si="24"/>
        <v>44000</v>
      </c>
      <c r="L138" s="33">
        <f t="shared" si="24"/>
        <v>44000</v>
      </c>
      <c r="M138" s="37"/>
      <c r="N138" s="12"/>
    </row>
    <row r="139" spans="2:19" x14ac:dyDescent="0.25">
      <c r="B139" s="47" t="s">
        <v>28</v>
      </c>
      <c r="C139" s="210">
        <f>C137 -C138</f>
        <v>213600</v>
      </c>
      <c r="D139" s="210">
        <f t="shared" ref="D139:L139" si="25">D137 -D138</f>
        <v>284800</v>
      </c>
      <c r="E139" s="210">
        <f t="shared" si="25"/>
        <v>356000</v>
      </c>
      <c r="F139" s="210">
        <f t="shared" si="25"/>
        <v>356000</v>
      </c>
      <c r="G139" s="210">
        <f t="shared" si="25"/>
        <v>356000</v>
      </c>
      <c r="H139" s="210">
        <f t="shared" si="25"/>
        <v>356000</v>
      </c>
      <c r="I139" s="210">
        <f t="shared" si="25"/>
        <v>356000</v>
      </c>
      <c r="J139" s="210">
        <f t="shared" si="25"/>
        <v>356000</v>
      </c>
      <c r="K139" s="210">
        <f t="shared" si="25"/>
        <v>356000</v>
      </c>
      <c r="L139" s="210">
        <f t="shared" si="25"/>
        <v>356000</v>
      </c>
      <c r="M139" s="49"/>
      <c r="N139" s="326" t="s">
        <v>123</v>
      </c>
      <c r="O139" s="327"/>
      <c r="P139" s="327"/>
      <c r="Q139" s="327"/>
      <c r="R139" s="328"/>
      <c r="S139" s="182"/>
    </row>
    <row r="140" spans="2:19" x14ac:dyDescent="0.25">
      <c r="B140" s="47" t="s">
        <v>29</v>
      </c>
      <c r="C140" s="213">
        <f>SUM(C141:C142)</f>
        <v>105000</v>
      </c>
      <c r="D140" s="213">
        <f t="shared" ref="D140:L140" si="26">SUM(D141:D142)</f>
        <v>130000</v>
      </c>
      <c r="E140" s="213">
        <f t="shared" si="26"/>
        <v>155000</v>
      </c>
      <c r="F140" s="213">
        <f t="shared" si="26"/>
        <v>155000</v>
      </c>
      <c r="G140" s="213">
        <f t="shared" si="26"/>
        <v>155000</v>
      </c>
      <c r="H140" s="213">
        <f t="shared" si="26"/>
        <v>155000</v>
      </c>
      <c r="I140" s="213">
        <f t="shared" si="26"/>
        <v>155000</v>
      </c>
      <c r="J140" s="213">
        <f t="shared" si="26"/>
        <v>155000</v>
      </c>
      <c r="K140" s="213">
        <f t="shared" si="26"/>
        <v>155000</v>
      </c>
      <c r="L140" s="213">
        <f t="shared" si="26"/>
        <v>155000</v>
      </c>
      <c r="M140" s="49"/>
      <c r="N140" s="329"/>
      <c r="O140" s="330"/>
      <c r="P140" s="330"/>
      <c r="Q140" s="330"/>
      <c r="R140" s="331"/>
      <c r="S140" s="182"/>
    </row>
    <row r="141" spans="2:19" x14ac:dyDescent="0.25">
      <c r="B141" s="23" t="s">
        <v>30</v>
      </c>
      <c r="C141" s="33">
        <f>C81*(1+$C$185)</f>
        <v>75000</v>
      </c>
      <c r="D141" s="33">
        <f t="shared" ref="D141:L141" si="27">D81*(1+$C$185)</f>
        <v>100000</v>
      </c>
      <c r="E141" s="33">
        <f t="shared" si="27"/>
        <v>125000</v>
      </c>
      <c r="F141" s="33">
        <f t="shared" si="27"/>
        <v>125000</v>
      </c>
      <c r="G141" s="33">
        <f t="shared" si="27"/>
        <v>125000</v>
      </c>
      <c r="H141" s="33">
        <f t="shared" si="27"/>
        <v>125000</v>
      </c>
      <c r="I141" s="33">
        <f t="shared" si="27"/>
        <v>125000</v>
      </c>
      <c r="J141" s="33">
        <f t="shared" si="27"/>
        <v>125000</v>
      </c>
      <c r="K141" s="33">
        <f t="shared" si="27"/>
        <v>125000</v>
      </c>
      <c r="L141" s="33">
        <f t="shared" si="27"/>
        <v>125000</v>
      </c>
      <c r="M141" s="37"/>
      <c r="N141" s="329"/>
      <c r="O141" s="330"/>
      <c r="P141" s="330"/>
      <c r="Q141" s="330"/>
      <c r="R141" s="331"/>
      <c r="S141" s="182"/>
    </row>
    <row r="142" spans="2:19" x14ac:dyDescent="0.25">
      <c r="B142" s="23" t="s">
        <v>31</v>
      </c>
      <c r="C142" s="33">
        <f>C82*(1+$C$186)</f>
        <v>30000</v>
      </c>
      <c r="D142" s="33">
        <f t="shared" ref="D142:L142" si="28">D82*(1+$C$186)</f>
        <v>30000</v>
      </c>
      <c r="E142" s="33">
        <f t="shared" si="28"/>
        <v>30000</v>
      </c>
      <c r="F142" s="33">
        <f t="shared" si="28"/>
        <v>30000</v>
      </c>
      <c r="G142" s="33">
        <f t="shared" si="28"/>
        <v>30000</v>
      </c>
      <c r="H142" s="33">
        <f t="shared" si="28"/>
        <v>30000</v>
      </c>
      <c r="I142" s="33">
        <f t="shared" si="28"/>
        <v>30000</v>
      </c>
      <c r="J142" s="33">
        <f t="shared" si="28"/>
        <v>30000</v>
      </c>
      <c r="K142" s="33">
        <f t="shared" si="28"/>
        <v>30000</v>
      </c>
      <c r="L142" s="33">
        <f t="shared" si="28"/>
        <v>30000</v>
      </c>
      <c r="M142" s="37"/>
      <c r="N142" s="329"/>
      <c r="O142" s="330"/>
      <c r="P142" s="330"/>
      <c r="Q142" s="330"/>
      <c r="R142" s="331"/>
      <c r="S142" s="182"/>
    </row>
    <row r="143" spans="2:19" ht="15.75" thickBot="1" x14ac:dyDescent="0.3">
      <c r="B143" s="47" t="s">
        <v>32</v>
      </c>
      <c r="C143" s="252">
        <f>C144+C145</f>
        <v>69790</v>
      </c>
      <c r="D143" s="252">
        <f t="shared" ref="D143:L143" si="29">D144+D145</f>
        <v>67625.786353341828</v>
      </c>
      <c r="E143" s="252">
        <f t="shared" si="29"/>
        <v>65223.509205551243</v>
      </c>
      <c r="F143" s="252">
        <f t="shared" si="29"/>
        <v>62556.981571503711</v>
      </c>
      <c r="G143" s="252">
        <f t="shared" si="29"/>
        <v>59597.135897710941</v>
      </c>
      <c r="H143" s="252">
        <f t="shared" si="29"/>
        <v>56311.707199800971</v>
      </c>
      <c r="I143" s="252">
        <f t="shared" si="29"/>
        <v>52664.881345120899</v>
      </c>
      <c r="J143" s="252">
        <f t="shared" si="29"/>
        <v>48616.904646426025</v>
      </c>
      <c r="K143" s="252">
        <f t="shared" si="29"/>
        <v>44123.650510874715</v>
      </c>
      <c r="L143" s="252">
        <f t="shared" si="29"/>
        <v>39136.138420412761</v>
      </c>
      <c r="M143" s="49"/>
      <c r="N143" s="332"/>
      <c r="O143" s="333"/>
      <c r="P143" s="333"/>
      <c r="Q143" s="333"/>
      <c r="R143" s="334"/>
    </row>
    <row r="144" spans="2:19" x14ac:dyDescent="0.25">
      <c r="B144" s="23" t="s">
        <v>33</v>
      </c>
      <c r="C144" s="33">
        <f t="shared" ref="C144:L144" si="30">C84</f>
        <v>33600</v>
      </c>
      <c r="D144" s="33">
        <f t="shared" si="30"/>
        <v>33600</v>
      </c>
      <c r="E144" s="33">
        <f t="shared" si="30"/>
        <v>33600</v>
      </c>
      <c r="F144" s="33">
        <f t="shared" si="30"/>
        <v>33600</v>
      </c>
      <c r="G144" s="33">
        <f t="shared" si="30"/>
        <v>33600</v>
      </c>
      <c r="H144" s="33">
        <f t="shared" si="30"/>
        <v>33600</v>
      </c>
      <c r="I144" s="33">
        <f t="shared" si="30"/>
        <v>33600</v>
      </c>
      <c r="J144" s="33">
        <f t="shared" si="30"/>
        <v>33600</v>
      </c>
      <c r="K144" s="33">
        <f t="shared" si="30"/>
        <v>33600</v>
      </c>
      <c r="L144" s="33">
        <f t="shared" si="30"/>
        <v>33600</v>
      </c>
      <c r="M144" s="37"/>
      <c r="N144" s="12"/>
    </row>
    <row r="145" spans="2:14" x14ac:dyDescent="0.25">
      <c r="B145" s="23" t="s">
        <v>57</v>
      </c>
      <c r="C145" s="33">
        <f>E122</f>
        <v>36190</v>
      </c>
      <c r="D145" s="33">
        <f>E123</f>
        <v>34025.78635334182</v>
      </c>
      <c r="E145" s="33">
        <f>E124</f>
        <v>31623.509205551243</v>
      </c>
      <c r="F145" s="33">
        <f>E125</f>
        <v>28956.981571503708</v>
      </c>
      <c r="G145" s="33">
        <f>E126</f>
        <v>25997.135897710941</v>
      </c>
      <c r="H145" s="33">
        <f>E127</f>
        <v>22711.707199800971</v>
      </c>
      <c r="I145" s="33">
        <f>E128</f>
        <v>19064.881345120903</v>
      </c>
      <c r="J145" s="33">
        <f>E129</f>
        <v>15016.904646426026</v>
      </c>
      <c r="K145" s="33">
        <f>E130</f>
        <v>10523.650510874715</v>
      </c>
      <c r="L145" s="33">
        <f>E131</f>
        <v>5536.1384204127589</v>
      </c>
      <c r="M145" s="37"/>
      <c r="N145" s="12"/>
    </row>
    <row r="146" spans="2:14" ht="15.75" thickBot="1" x14ac:dyDescent="0.3">
      <c r="B146" s="170" t="s">
        <v>34</v>
      </c>
      <c r="C146" s="171">
        <f>C139-(C140+C143)</f>
        <v>38810</v>
      </c>
      <c r="D146" s="171">
        <f t="shared" ref="D146:L146" si="31">D139-(D140+D143)</f>
        <v>87174.213646658172</v>
      </c>
      <c r="E146" s="171">
        <f t="shared" si="31"/>
        <v>135776.49079444876</v>
      </c>
      <c r="F146" s="171">
        <f t="shared" si="31"/>
        <v>138443.01842849629</v>
      </c>
      <c r="G146" s="171">
        <f t="shared" si="31"/>
        <v>141402.86410228905</v>
      </c>
      <c r="H146" s="171">
        <f t="shared" si="31"/>
        <v>144688.29280019904</v>
      </c>
      <c r="I146" s="171">
        <f t="shared" si="31"/>
        <v>148335.1186548791</v>
      </c>
      <c r="J146" s="171">
        <f t="shared" si="31"/>
        <v>152383.09535357397</v>
      </c>
      <c r="K146" s="171">
        <f t="shared" si="31"/>
        <v>156876.34948912528</v>
      </c>
      <c r="L146" s="171">
        <f t="shared" si="31"/>
        <v>161863.86157958725</v>
      </c>
      <c r="M146" s="37"/>
      <c r="N146" s="12"/>
    </row>
    <row r="147" spans="2:14" ht="15.75" thickBot="1" x14ac:dyDescent="0.3">
      <c r="B147" s="197" t="s">
        <v>118</v>
      </c>
      <c r="C147" s="217">
        <f>$C$42*C146</f>
        <v>8538.2000000000007</v>
      </c>
      <c r="D147" s="217">
        <f t="shared" ref="D147:L147" si="32">$C$42*D146</f>
        <v>19178.327002264799</v>
      </c>
      <c r="E147" s="217">
        <f t="shared" si="32"/>
        <v>29870.827974778727</v>
      </c>
      <c r="F147" s="217">
        <f t="shared" si="32"/>
        <v>30457.464054269185</v>
      </c>
      <c r="G147" s="217">
        <f t="shared" si="32"/>
        <v>31108.63010250359</v>
      </c>
      <c r="H147" s="217">
        <f t="shared" si="32"/>
        <v>31831.424416043788</v>
      </c>
      <c r="I147" s="217">
        <f t="shared" si="32"/>
        <v>32633.726104073401</v>
      </c>
      <c r="J147" s="217">
        <f t="shared" si="32"/>
        <v>33524.280977786271</v>
      </c>
      <c r="K147" s="217">
        <f t="shared" si="32"/>
        <v>34512.796887607561</v>
      </c>
      <c r="L147" s="217">
        <f t="shared" si="32"/>
        <v>35610.049547509196</v>
      </c>
      <c r="M147" s="49"/>
      <c r="N147" s="12"/>
    </row>
    <row r="148" spans="2:14" x14ac:dyDescent="0.25">
      <c r="B148" s="12"/>
      <c r="C148" s="11"/>
      <c r="D148" s="11"/>
      <c r="E148" s="11"/>
      <c r="F148" s="11"/>
      <c r="G148" s="11"/>
      <c r="H148" s="11"/>
      <c r="I148" s="11"/>
      <c r="J148" s="11"/>
      <c r="K148" s="11"/>
      <c r="L148" s="11"/>
      <c r="M148" s="11"/>
      <c r="N148" s="12"/>
    </row>
    <row r="149" spans="2:14" ht="16.5" thickBot="1" x14ac:dyDescent="0.3">
      <c r="B149" s="187" t="s">
        <v>164</v>
      </c>
    </row>
    <row r="150" spans="2:14" x14ac:dyDescent="0.25">
      <c r="B150" s="55" t="s">
        <v>12</v>
      </c>
      <c r="C150" s="56">
        <v>0</v>
      </c>
      <c r="D150" s="56">
        <v>1</v>
      </c>
      <c r="E150" s="56">
        <v>2</v>
      </c>
      <c r="F150" s="56">
        <v>3</v>
      </c>
      <c r="G150" s="56">
        <v>4</v>
      </c>
      <c r="H150" s="56">
        <v>5</v>
      </c>
      <c r="I150" s="56">
        <v>6</v>
      </c>
      <c r="J150" s="56">
        <v>7</v>
      </c>
      <c r="K150" s="56">
        <v>8</v>
      </c>
      <c r="L150" s="56">
        <v>9</v>
      </c>
      <c r="M150" s="57">
        <v>10</v>
      </c>
      <c r="N150" s="242"/>
    </row>
    <row r="151" spans="2:14" x14ac:dyDescent="0.25">
      <c r="B151" s="59" t="s">
        <v>37</v>
      </c>
      <c r="C151" s="207">
        <f>-C113*(1+$C$183)</f>
        <v>-470000</v>
      </c>
      <c r="D151" s="60"/>
      <c r="E151" s="60"/>
      <c r="F151" s="60"/>
      <c r="G151" s="60"/>
      <c r="H151" s="60"/>
      <c r="I151" s="60"/>
      <c r="J151" s="60"/>
      <c r="K151" s="60"/>
      <c r="L151" s="60"/>
      <c r="M151" s="259"/>
      <c r="N151" s="243"/>
    </row>
    <row r="152" spans="2:14" x14ac:dyDescent="0.25">
      <c r="B152" s="59" t="s">
        <v>122</v>
      </c>
      <c r="C152" s="60"/>
      <c r="D152" s="209">
        <f>-$F$73</f>
        <v>-28500</v>
      </c>
      <c r="E152" s="60"/>
      <c r="F152" s="60"/>
      <c r="G152" s="60"/>
      <c r="H152" s="60"/>
      <c r="I152" s="60"/>
      <c r="J152" s="60"/>
      <c r="K152" s="60"/>
      <c r="L152" s="60"/>
      <c r="M152" s="259">
        <f>+$F$73</f>
        <v>28500</v>
      </c>
      <c r="N152" s="243"/>
    </row>
    <row r="153" spans="2:14" x14ac:dyDescent="0.25">
      <c r="B153" s="59" t="s">
        <v>38</v>
      </c>
      <c r="C153" s="60"/>
      <c r="D153" s="211">
        <f>C139*(1+$C$184)</f>
        <v>213600</v>
      </c>
      <c r="E153" s="211">
        <f t="shared" ref="E153:M153" si="33">D139*(1+$C$184)</f>
        <v>284800</v>
      </c>
      <c r="F153" s="211">
        <f t="shared" si="33"/>
        <v>356000</v>
      </c>
      <c r="G153" s="211">
        <f t="shared" si="33"/>
        <v>356000</v>
      </c>
      <c r="H153" s="211">
        <f t="shared" si="33"/>
        <v>356000</v>
      </c>
      <c r="I153" s="211">
        <f t="shared" si="33"/>
        <v>356000</v>
      </c>
      <c r="J153" s="211">
        <f t="shared" si="33"/>
        <v>356000</v>
      </c>
      <c r="K153" s="211">
        <f t="shared" si="33"/>
        <v>356000</v>
      </c>
      <c r="L153" s="211">
        <f t="shared" si="33"/>
        <v>356000</v>
      </c>
      <c r="M153" s="211">
        <f t="shared" si="33"/>
        <v>356000</v>
      </c>
      <c r="N153" s="51"/>
    </row>
    <row r="154" spans="2:14" x14ac:dyDescent="0.25">
      <c r="B154" s="59" t="s">
        <v>39</v>
      </c>
      <c r="C154" s="60"/>
      <c r="D154" s="221">
        <f>-C140</f>
        <v>-105000</v>
      </c>
      <c r="E154" s="221">
        <f t="shared" ref="E154:M154" si="34">-D140</f>
        <v>-130000</v>
      </c>
      <c r="F154" s="221">
        <f t="shared" si="34"/>
        <v>-155000</v>
      </c>
      <c r="G154" s="221">
        <f t="shared" si="34"/>
        <v>-155000</v>
      </c>
      <c r="H154" s="221">
        <f t="shared" si="34"/>
        <v>-155000</v>
      </c>
      <c r="I154" s="221">
        <f t="shared" si="34"/>
        <v>-155000</v>
      </c>
      <c r="J154" s="221">
        <f t="shared" si="34"/>
        <v>-155000</v>
      </c>
      <c r="K154" s="221">
        <f t="shared" si="34"/>
        <v>-155000</v>
      </c>
      <c r="L154" s="221">
        <f t="shared" si="34"/>
        <v>-155000</v>
      </c>
      <c r="M154" s="221">
        <f t="shared" si="34"/>
        <v>-155000</v>
      </c>
      <c r="N154" s="51"/>
    </row>
    <row r="155" spans="2:14" x14ac:dyDescent="0.25">
      <c r="B155" s="59" t="s">
        <v>117</v>
      </c>
      <c r="C155" s="60"/>
      <c r="D155" s="219">
        <f>-C147</f>
        <v>-8538.2000000000007</v>
      </c>
      <c r="E155" s="219">
        <f t="shared" ref="E155:L155" si="35">-D147</f>
        <v>-19178.327002264799</v>
      </c>
      <c r="F155" s="219">
        <f t="shared" si="35"/>
        <v>-29870.827974778727</v>
      </c>
      <c r="G155" s="219">
        <f t="shared" si="35"/>
        <v>-30457.464054269185</v>
      </c>
      <c r="H155" s="219">
        <f t="shared" si="35"/>
        <v>-31108.63010250359</v>
      </c>
      <c r="I155" s="219">
        <f t="shared" si="35"/>
        <v>-31831.424416043788</v>
      </c>
      <c r="J155" s="219">
        <f t="shared" si="35"/>
        <v>-32633.726104073401</v>
      </c>
      <c r="K155" s="219">
        <f t="shared" si="35"/>
        <v>-33524.280977786271</v>
      </c>
      <c r="L155" s="219">
        <f t="shared" si="35"/>
        <v>-34512.796887607561</v>
      </c>
      <c r="M155" s="245">
        <f>-L147</f>
        <v>-35610.049547509196</v>
      </c>
      <c r="N155" s="51"/>
    </row>
    <row r="156" spans="2:14" ht="15.75" thickBot="1" x14ac:dyDescent="0.3">
      <c r="B156" s="97" t="s">
        <v>41</v>
      </c>
      <c r="C156" s="165"/>
      <c r="D156" s="165"/>
      <c r="E156" s="165"/>
      <c r="F156" s="165"/>
      <c r="G156" s="165"/>
      <c r="H156" s="165"/>
      <c r="I156" s="165"/>
      <c r="J156" s="165"/>
      <c r="K156" s="165"/>
      <c r="L156" s="165"/>
      <c r="M156" s="220">
        <f>M95</f>
        <v>157000</v>
      </c>
      <c r="N156" s="51"/>
    </row>
    <row r="157" spans="2:14" ht="15.75" thickBot="1" x14ac:dyDescent="0.3">
      <c r="B157" s="260" t="s">
        <v>42</v>
      </c>
      <c r="C157" s="228">
        <f t="shared" ref="C157:M157" si="36">SUM(C151:C156)</f>
        <v>-470000</v>
      </c>
      <c r="D157" s="228">
        <f t="shared" si="36"/>
        <v>71561.8</v>
      </c>
      <c r="E157" s="228">
        <f t="shared" si="36"/>
        <v>135621.67299773521</v>
      </c>
      <c r="F157" s="228">
        <f t="shared" si="36"/>
        <v>171129.17202522128</v>
      </c>
      <c r="G157" s="228">
        <f t="shared" si="36"/>
        <v>170542.53594573081</v>
      </c>
      <c r="H157" s="228">
        <f t="shared" si="36"/>
        <v>169891.36989749642</v>
      </c>
      <c r="I157" s="228">
        <f t="shared" si="36"/>
        <v>169168.5755839562</v>
      </c>
      <c r="J157" s="228">
        <f t="shared" si="36"/>
        <v>168366.2738959266</v>
      </c>
      <c r="K157" s="228">
        <f t="shared" si="36"/>
        <v>167475.71902221371</v>
      </c>
      <c r="L157" s="228">
        <f t="shared" si="36"/>
        <v>166487.20311239245</v>
      </c>
      <c r="M157" s="261">
        <f t="shared" si="36"/>
        <v>350889.95045249083</v>
      </c>
      <c r="N157" s="258"/>
    </row>
    <row r="158" spans="2:14" x14ac:dyDescent="0.25">
      <c r="B158" s="166" t="s">
        <v>59</v>
      </c>
      <c r="C158" s="167">
        <f>C115</f>
        <v>329000</v>
      </c>
      <c r="D158" s="167"/>
      <c r="E158" s="167"/>
      <c r="F158" s="167"/>
      <c r="G158" s="167"/>
      <c r="H158" s="167"/>
      <c r="I158" s="167"/>
      <c r="J158" s="167"/>
      <c r="K158" s="167"/>
      <c r="L158" s="167"/>
      <c r="M158" s="262"/>
      <c r="N158" s="51"/>
    </row>
    <row r="159" spans="2:14" x14ac:dyDescent="0.25">
      <c r="B159" s="97" t="s">
        <v>55</v>
      </c>
      <c r="C159" s="60"/>
      <c r="D159" s="222">
        <f>-F122</f>
        <v>-19674.669515074318</v>
      </c>
      <c r="E159" s="222">
        <f>-F123</f>
        <v>-21838.883161732498</v>
      </c>
      <c r="F159" s="222">
        <f>-F124</f>
        <v>-24241.160309523075</v>
      </c>
      <c r="G159" s="222">
        <f>-F125</f>
        <v>-26907.687943570611</v>
      </c>
      <c r="H159" s="222">
        <f>-F126</f>
        <v>-29867.533617363377</v>
      </c>
      <c r="I159" s="222">
        <f>-F127</f>
        <v>-33152.962315273347</v>
      </c>
      <c r="J159" s="222">
        <f>-F128</f>
        <v>-36799.788169953419</v>
      </c>
      <c r="K159" s="222">
        <f>-F129</f>
        <v>-40847.764868648293</v>
      </c>
      <c r="L159" s="222">
        <f>-F130</f>
        <v>-45341.019004199603</v>
      </c>
      <c r="M159" s="263">
        <f>-F131</f>
        <v>-50328.531094661557</v>
      </c>
      <c r="N159" s="51"/>
    </row>
    <row r="160" spans="2:14" x14ac:dyDescent="0.25">
      <c r="B160" s="59" t="s">
        <v>57</v>
      </c>
      <c r="C160" s="60"/>
      <c r="D160" s="223">
        <f>-E122</f>
        <v>-36190</v>
      </c>
      <c r="E160" s="223">
        <f>-E123</f>
        <v>-34025.78635334182</v>
      </c>
      <c r="F160" s="223">
        <f>-E124</f>
        <v>-31623.509205551243</v>
      </c>
      <c r="G160" s="223">
        <f>-E125</f>
        <v>-28956.981571503708</v>
      </c>
      <c r="H160" s="223">
        <f>-E126</f>
        <v>-25997.135897710941</v>
      </c>
      <c r="I160" s="223">
        <f>-E127</f>
        <v>-22711.707199800971</v>
      </c>
      <c r="J160" s="223">
        <f>-E128</f>
        <v>-19064.881345120903</v>
      </c>
      <c r="K160" s="223">
        <f>-E129</f>
        <v>-15016.904646426026</v>
      </c>
      <c r="L160" s="223">
        <f>-E130</f>
        <v>-10523.650510874715</v>
      </c>
      <c r="M160" s="264">
        <f>-E131</f>
        <v>-5536.1384204127589</v>
      </c>
      <c r="N160" s="51"/>
    </row>
    <row r="161" spans="2:14" ht="15.75" thickBot="1" x14ac:dyDescent="0.3">
      <c r="B161" s="164" t="s">
        <v>114</v>
      </c>
      <c r="C161" s="265">
        <f>SUM(C157:C160)</f>
        <v>-141000</v>
      </c>
      <c r="D161" s="265">
        <f t="shared" ref="D161:M161" si="37">SUM(D157:D160)</f>
        <v>15697.130484925685</v>
      </c>
      <c r="E161" s="265">
        <f t="shared" si="37"/>
        <v>79757.00348266089</v>
      </c>
      <c r="F161" s="265">
        <f t="shared" si="37"/>
        <v>115264.50251014697</v>
      </c>
      <c r="G161" s="265">
        <f t="shared" si="37"/>
        <v>114677.86643065649</v>
      </c>
      <c r="H161" s="265">
        <f t="shared" si="37"/>
        <v>114026.7003824221</v>
      </c>
      <c r="I161" s="265">
        <f t="shared" si="37"/>
        <v>113303.90606888189</v>
      </c>
      <c r="J161" s="265">
        <f t="shared" si="37"/>
        <v>112501.60438085228</v>
      </c>
      <c r="K161" s="265">
        <f t="shared" si="37"/>
        <v>111611.0495071394</v>
      </c>
      <c r="L161" s="265">
        <f t="shared" si="37"/>
        <v>110622.53359731814</v>
      </c>
      <c r="M161" s="266">
        <f t="shared" si="37"/>
        <v>295025.28093741648</v>
      </c>
      <c r="N161" s="51"/>
    </row>
    <row r="162" spans="2:14" x14ac:dyDescent="0.25">
      <c r="C162" s="99"/>
      <c r="D162" s="99"/>
      <c r="E162" s="99"/>
      <c r="F162" s="99"/>
      <c r="G162" s="99"/>
      <c r="H162" s="99"/>
      <c r="I162" s="99"/>
      <c r="J162" s="99"/>
      <c r="K162" s="99"/>
      <c r="L162" s="99"/>
      <c r="M162" s="99"/>
    </row>
    <row r="163" spans="2:14" x14ac:dyDescent="0.25">
      <c r="C163" s="99"/>
      <c r="D163" s="99"/>
      <c r="E163" s="99"/>
      <c r="F163" s="99"/>
      <c r="G163" s="99"/>
      <c r="H163" s="99"/>
      <c r="I163" s="99"/>
      <c r="J163" s="99"/>
      <c r="K163" s="99"/>
      <c r="L163" s="99"/>
      <c r="M163" s="99"/>
    </row>
    <row r="164" spans="2:14" ht="16.5" thickBot="1" x14ac:dyDescent="0.3">
      <c r="B164" s="186" t="s">
        <v>72</v>
      </c>
      <c r="C164" s="99"/>
      <c r="D164" s="99"/>
      <c r="E164" s="99"/>
      <c r="F164" s="188" t="s">
        <v>73</v>
      </c>
      <c r="G164" s="99"/>
      <c r="H164" s="99"/>
      <c r="I164" s="99"/>
      <c r="J164" s="99"/>
      <c r="K164" s="99"/>
      <c r="L164" s="99"/>
      <c r="M164" s="99"/>
    </row>
    <row r="165" spans="2:14" ht="15.75" customHeight="1" x14ac:dyDescent="0.25">
      <c r="B165" s="131" t="s">
        <v>168</v>
      </c>
      <c r="C165" s="230">
        <f>NPV(C166, D157:M157)+C157</f>
        <v>457225.83330418763</v>
      </c>
      <c r="D165" s="99"/>
      <c r="E165" s="99"/>
      <c r="F165" s="147" t="s">
        <v>37</v>
      </c>
      <c r="G165" s="138">
        <f>-+C151</f>
        <v>470000</v>
      </c>
      <c r="H165" s="99"/>
      <c r="I165" s="99"/>
      <c r="J165" s="99"/>
      <c r="K165" s="99"/>
      <c r="L165" s="306" t="s">
        <v>167</v>
      </c>
      <c r="M165" s="307"/>
      <c r="N165" s="308"/>
    </row>
    <row r="166" spans="2:14" ht="16.5" thickBot="1" x14ac:dyDescent="0.3">
      <c r="B166" s="128" t="s">
        <v>74</v>
      </c>
      <c r="C166" s="133">
        <f>+G173</f>
        <v>0.11405999999999999</v>
      </c>
      <c r="D166" s="99"/>
      <c r="F166" s="148" t="s">
        <v>60</v>
      </c>
      <c r="G166" s="140">
        <f>+C158</f>
        <v>329000</v>
      </c>
      <c r="H166" s="99"/>
      <c r="I166" s="99"/>
      <c r="J166" s="99"/>
      <c r="K166" s="99"/>
      <c r="L166" s="309"/>
      <c r="M166" s="310"/>
      <c r="N166" s="311"/>
    </row>
    <row r="167" spans="2:14" ht="15.75" x14ac:dyDescent="0.25">
      <c r="B167" s="128" t="s">
        <v>169</v>
      </c>
      <c r="C167" s="231">
        <f>IRR(C157:N157,17%)</f>
        <v>0.28165846638659664</v>
      </c>
      <c r="D167" s="99"/>
      <c r="F167" s="148" t="s">
        <v>61</v>
      </c>
      <c r="G167" s="140">
        <f>+G165-G166</f>
        <v>141000</v>
      </c>
      <c r="H167" s="99"/>
      <c r="I167" s="298" t="s">
        <v>166</v>
      </c>
      <c r="J167" s="299"/>
      <c r="K167" s="99"/>
      <c r="L167" s="309"/>
      <c r="M167" s="310"/>
      <c r="N167" s="311"/>
    </row>
    <row r="168" spans="2:14" ht="16.5" customHeight="1" x14ac:dyDescent="0.25">
      <c r="B168" s="132" t="s">
        <v>37</v>
      </c>
      <c r="C168" s="135">
        <f>+-C151</f>
        <v>470000</v>
      </c>
      <c r="D168" s="99"/>
      <c r="F168" s="148" t="s">
        <v>68</v>
      </c>
      <c r="G168" s="142">
        <f>+G166/G165</f>
        <v>0.7</v>
      </c>
      <c r="H168" s="99"/>
      <c r="I168" s="300"/>
      <c r="J168" s="301"/>
      <c r="K168" s="99"/>
      <c r="L168" s="309"/>
      <c r="M168" s="310"/>
      <c r="N168" s="311"/>
    </row>
    <row r="169" spans="2:14" ht="16.5" thickBot="1" x14ac:dyDescent="0.3">
      <c r="B169" s="128"/>
      <c r="C169" s="136"/>
      <c r="D169" s="99"/>
      <c r="F169" s="148" t="s">
        <v>69</v>
      </c>
      <c r="G169" s="142">
        <f>+G167/G165</f>
        <v>0.3</v>
      </c>
      <c r="H169" s="99"/>
      <c r="I169" s="300"/>
      <c r="J169" s="301"/>
      <c r="K169" s="99"/>
      <c r="L169" s="312"/>
      <c r="M169" s="313"/>
      <c r="N169" s="314"/>
    </row>
    <row r="170" spans="2:14" ht="15.75" x14ac:dyDescent="0.25">
      <c r="B170" s="128" t="s">
        <v>77</v>
      </c>
      <c r="C170" s="232">
        <f>+C165/C168</f>
        <v>0.97282092192380343</v>
      </c>
      <c r="F170" s="148" t="s">
        <v>70</v>
      </c>
      <c r="G170" s="142">
        <f>11%*(1+$C$187)</f>
        <v>0.11</v>
      </c>
      <c r="I170" s="300"/>
      <c r="J170" s="301"/>
    </row>
    <row r="171" spans="2:14" ht="15.75" x14ac:dyDescent="0.25">
      <c r="B171" s="128" t="s">
        <v>65</v>
      </c>
      <c r="C171" s="135">
        <f>NPV(C166,D157:M157)</f>
        <v>927225.83330418763</v>
      </c>
      <c r="D171" s="99"/>
      <c r="F171" s="148" t="s">
        <v>71</v>
      </c>
      <c r="G171" s="142">
        <v>0.18</v>
      </c>
      <c r="H171" s="99"/>
      <c r="I171" s="300"/>
      <c r="J171" s="301"/>
      <c r="K171" s="99"/>
      <c r="L171" s="99"/>
      <c r="M171" s="99"/>
    </row>
    <row r="172" spans="2:14" ht="15.75" thickBot="1" x14ac:dyDescent="0.3">
      <c r="B172" s="128" t="s">
        <v>66</v>
      </c>
      <c r="C172" s="135">
        <f>-C157</f>
        <v>470000</v>
      </c>
      <c r="D172" s="99"/>
      <c r="F172" s="194" t="s">
        <v>115</v>
      </c>
      <c r="G172" s="195">
        <v>0.22</v>
      </c>
      <c r="H172" s="99"/>
      <c r="I172" s="300"/>
      <c r="J172" s="301"/>
      <c r="K172" s="99"/>
      <c r="L172" s="99"/>
      <c r="M172" s="99"/>
    </row>
    <row r="173" spans="2:14" ht="16.5" thickBot="1" x14ac:dyDescent="0.3">
      <c r="B173" s="129" t="s">
        <v>174</v>
      </c>
      <c r="C173" s="268">
        <f>+C171/C172</f>
        <v>1.9728209219238035</v>
      </c>
      <c r="F173" s="196" t="s">
        <v>75</v>
      </c>
      <c r="G173" s="229">
        <f>+(G168*G170)*(1-G172)+(G169*G171)</f>
        <v>0.11405999999999999</v>
      </c>
      <c r="H173" s="100"/>
      <c r="I173" s="300"/>
      <c r="J173" s="301"/>
    </row>
    <row r="174" spans="2:14" ht="15.75" thickBot="1" x14ac:dyDescent="0.3">
      <c r="B174" s="126"/>
      <c r="F174" s="144"/>
      <c r="G174" s="145"/>
      <c r="H174" s="100"/>
      <c r="I174" s="302"/>
      <c r="J174" s="303"/>
      <c r="K174" s="100"/>
    </row>
    <row r="175" spans="2:14" ht="15.75" thickBot="1" x14ac:dyDescent="0.3">
      <c r="B175" s="126"/>
      <c r="F175" s="116"/>
      <c r="H175" s="100"/>
      <c r="I175" s="304"/>
      <c r="J175" s="305"/>
      <c r="K175" s="100"/>
    </row>
    <row r="176" spans="2:14" x14ac:dyDescent="0.25">
      <c r="B176" s="126"/>
      <c r="F176" s="116"/>
      <c r="H176" s="100"/>
      <c r="I176" s="267"/>
      <c r="J176" s="267"/>
      <c r="K176" s="100"/>
    </row>
    <row r="177" spans="2:11" ht="15.75" thickBot="1" x14ac:dyDescent="0.3">
      <c r="B177" s="126"/>
      <c r="F177" s="163"/>
      <c r="G177" s="273"/>
      <c r="H177" s="100"/>
      <c r="K177" s="100"/>
    </row>
    <row r="178" spans="2:11" ht="223.5" customHeight="1" thickBot="1" x14ac:dyDescent="0.3">
      <c r="B178" s="290" t="s">
        <v>180</v>
      </c>
      <c r="C178" s="293"/>
      <c r="D178" s="293"/>
      <c r="E178" s="293"/>
      <c r="F178" s="293"/>
      <c r="G178" s="293"/>
      <c r="H178" s="293"/>
      <c r="I178" s="293"/>
      <c r="J178" s="294"/>
      <c r="K178" s="100"/>
    </row>
    <row r="179" spans="2:11" ht="15.75" x14ac:dyDescent="0.25">
      <c r="B179" s="152"/>
    </row>
    <row r="180" spans="2:11" ht="15.75" x14ac:dyDescent="0.25">
      <c r="B180" s="152"/>
    </row>
    <row r="181" spans="2:11" x14ac:dyDescent="0.25">
      <c r="B181" s="376" t="s">
        <v>106</v>
      </c>
      <c r="C181" s="376"/>
      <c r="D181" s="376"/>
    </row>
    <row r="182" spans="2:11" x14ac:dyDescent="0.25">
      <c r="B182" s="274" t="s">
        <v>96</v>
      </c>
      <c r="C182" s="275" t="s">
        <v>83</v>
      </c>
      <c r="D182" s="275" t="s">
        <v>76</v>
      </c>
    </row>
    <row r="183" spans="2:11" x14ac:dyDescent="0.25">
      <c r="B183" s="276" t="s">
        <v>80</v>
      </c>
      <c r="C183" s="277">
        <v>0</v>
      </c>
      <c r="D183" s="295">
        <f>C165</f>
        <v>457225.83330418763</v>
      </c>
    </row>
    <row r="184" spans="2:11" x14ac:dyDescent="0.25">
      <c r="B184" s="276" t="s">
        <v>81</v>
      </c>
      <c r="C184" s="277">
        <v>0</v>
      </c>
      <c r="D184" s="296"/>
    </row>
    <row r="185" spans="2:11" x14ac:dyDescent="0.25">
      <c r="B185" s="276" t="s">
        <v>88</v>
      </c>
      <c r="C185" s="277">
        <v>0</v>
      </c>
      <c r="D185" s="296"/>
    </row>
    <row r="186" spans="2:11" x14ac:dyDescent="0.25">
      <c r="B186" s="276" t="s">
        <v>89</v>
      </c>
      <c r="C186" s="277">
        <v>0</v>
      </c>
      <c r="D186" s="296"/>
    </row>
    <row r="187" spans="2:11" x14ac:dyDescent="0.25">
      <c r="B187" s="276" t="s">
        <v>82</v>
      </c>
      <c r="C187" s="277">
        <v>0</v>
      </c>
      <c r="D187" s="297"/>
    </row>
    <row r="188" spans="2:11" ht="15.75" thickBot="1" x14ac:dyDescent="0.3">
      <c r="B188" s="163"/>
      <c r="C188" s="278"/>
      <c r="D188" s="279"/>
    </row>
    <row r="189" spans="2:11" ht="80.25" customHeight="1" thickBot="1" x14ac:dyDescent="0.3">
      <c r="B189" s="290" t="s">
        <v>183</v>
      </c>
      <c r="C189" s="293"/>
      <c r="D189" s="293"/>
      <c r="E189" s="293"/>
      <c r="F189" s="293"/>
      <c r="G189" s="293"/>
      <c r="H189" s="293"/>
      <c r="I189" s="293"/>
      <c r="J189" s="294"/>
    </row>
    <row r="190" spans="2:11" x14ac:dyDescent="0.25">
      <c r="B190" s="163"/>
      <c r="C190" s="278"/>
      <c r="D190" s="279"/>
    </row>
    <row r="191" spans="2:11" x14ac:dyDescent="0.25">
      <c r="B191" s="163"/>
      <c r="C191" s="278"/>
      <c r="D191" s="279"/>
    </row>
    <row r="192" spans="2:11" x14ac:dyDescent="0.25">
      <c r="G192" s="284" t="s">
        <v>108</v>
      </c>
      <c r="H192" s="284"/>
      <c r="I192" s="284"/>
    </row>
    <row r="193" spans="2:10" x14ac:dyDescent="0.25">
      <c r="B193" s="284" t="s">
        <v>107</v>
      </c>
      <c r="C193" s="284"/>
      <c r="D193" s="284"/>
      <c r="G193" s="285" t="s">
        <v>76</v>
      </c>
      <c r="H193" s="285"/>
      <c r="I193" s="285"/>
    </row>
    <row r="194" spans="2:10" x14ac:dyDescent="0.25">
      <c r="B194" s="159" t="s">
        <v>96</v>
      </c>
      <c r="C194" s="154" t="s">
        <v>84</v>
      </c>
      <c r="D194" s="154">
        <v>0</v>
      </c>
      <c r="E194" s="154" t="s">
        <v>87</v>
      </c>
      <c r="F194" s="150"/>
      <c r="G194" s="154" t="s">
        <v>90</v>
      </c>
      <c r="H194" s="154" t="s">
        <v>91</v>
      </c>
      <c r="I194" s="160" t="s">
        <v>92</v>
      </c>
    </row>
    <row r="195" spans="2:10" x14ac:dyDescent="0.25">
      <c r="B195" s="153" t="s">
        <v>80</v>
      </c>
      <c r="C195" s="157">
        <v>537974.4574493292</v>
      </c>
      <c r="D195" s="157">
        <v>457225.83330418763</v>
      </c>
      <c r="E195" s="157">
        <v>383887.88585454022</v>
      </c>
      <c r="F195" s="162" t="s">
        <v>37</v>
      </c>
      <c r="G195" s="280">
        <f>(C195-D195)/D195</f>
        <v>0.17660555958005186</v>
      </c>
      <c r="H195" s="280">
        <f>(E195-D195)/D195</f>
        <v>-0.16039764621273364</v>
      </c>
      <c r="I195" s="155" t="s">
        <v>94</v>
      </c>
    </row>
    <row r="196" spans="2:10" x14ac:dyDescent="0.25">
      <c r="B196" s="153" t="s">
        <v>81</v>
      </c>
      <c r="C196" s="157">
        <v>269609.87330907362</v>
      </c>
      <c r="D196" s="157">
        <v>457225.83330418763</v>
      </c>
      <c r="E196" s="157">
        <v>644841.79329930153</v>
      </c>
      <c r="F196" s="162" t="s">
        <v>38</v>
      </c>
      <c r="G196" s="280">
        <f>(C196-D196)/D196</f>
        <v>-0.41033543236017256</v>
      </c>
      <c r="H196" s="280">
        <f>(E196-D196)/D196</f>
        <v>0.41033543236017228</v>
      </c>
      <c r="I196" s="155" t="s">
        <v>93</v>
      </c>
    </row>
    <row r="197" spans="2:10" x14ac:dyDescent="0.25">
      <c r="B197" s="153" t="s">
        <v>88</v>
      </c>
      <c r="C197" s="157">
        <v>508609</v>
      </c>
      <c r="D197" s="157">
        <v>457225.83330418763</v>
      </c>
      <c r="E197" s="157">
        <v>405842</v>
      </c>
      <c r="F197" s="162" t="s">
        <v>30</v>
      </c>
      <c r="G197" s="280">
        <f>(C197-D197)/D197</f>
        <v>0.11238027896299481</v>
      </c>
      <c r="H197" s="280">
        <f>(E197-D197)/D197</f>
        <v>-0.11238173690418428</v>
      </c>
      <c r="I197" s="155" t="s">
        <v>94</v>
      </c>
    </row>
    <row r="198" spans="2:10" x14ac:dyDescent="0.25">
      <c r="B198" s="153" t="s">
        <v>89</v>
      </c>
      <c r="C198" s="157">
        <v>470775</v>
      </c>
      <c r="D198" s="157">
        <v>457225.83330418763</v>
      </c>
      <c r="E198" s="157">
        <v>443677</v>
      </c>
      <c r="F198" s="162" t="s">
        <v>97</v>
      </c>
      <c r="G198" s="280">
        <f>(C198-D198)/D198</f>
        <v>2.9633423373955005E-2</v>
      </c>
      <c r="H198" s="280">
        <f>(E198-D198)/D198</f>
        <v>-2.9632694212126314E-2</v>
      </c>
      <c r="I198" s="155" t="s">
        <v>95</v>
      </c>
    </row>
    <row r="199" spans="2:10" x14ac:dyDescent="0.25">
      <c r="B199" s="153" t="s">
        <v>82</v>
      </c>
      <c r="C199" s="157">
        <v>481099</v>
      </c>
      <c r="D199" s="157">
        <v>457225.83330418763</v>
      </c>
      <c r="E199" s="157">
        <v>434406</v>
      </c>
      <c r="F199" s="162" t="s">
        <v>98</v>
      </c>
      <c r="G199" s="280">
        <f>(C199-D199)/D199</f>
        <v>5.2213074933431851E-2</v>
      </c>
      <c r="H199" s="280">
        <f>(E199-D199)/D199</f>
        <v>-4.9909326293481396E-2</v>
      </c>
      <c r="I199" s="155" t="s">
        <v>95</v>
      </c>
    </row>
    <row r="200" spans="2:10" ht="15.75" thickBot="1" x14ac:dyDescent="0.3"/>
    <row r="201" spans="2:10" ht="79.5" customHeight="1" thickBot="1" x14ac:dyDescent="0.3">
      <c r="B201" s="290" t="s">
        <v>184</v>
      </c>
      <c r="C201" s="293"/>
      <c r="D201" s="293"/>
      <c r="E201" s="293"/>
      <c r="F201" s="293"/>
      <c r="G201" s="293"/>
      <c r="H201" s="293"/>
      <c r="I201" s="293"/>
      <c r="J201" s="294"/>
    </row>
    <row r="205" spans="2:10" x14ac:dyDescent="0.25">
      <c r="B205" s="284" t="s">
        <v>182</v>
      </c>
      <c r="C205" s="284"/>
      <c r="D205" s="284"/>
      <c r="E205" s="284"/>
      <c r="G205" s="285" t="s">
        <v>76</v>
      </c>
      <c r="H205" s="285"/>
      <c r="I205" s="285"/>
    </row>
    <row r="206" spans="2:10" x14ac:dyDescent="0.25">
      <c r="B206" s="159" t="s">
        <v>96</v>
      </c>
      <c r="C206" s="154" t="s">
        <v>175</v>
      </c>
      <c r="D206" s="154">
        <v>0</v>
      </c>
      <c r="E206" s="154" t="s">
        <v>176</v>
      </c>
      <c r="F206" s="150"/>
      <c r="G206" s="154" t="s">
        <v>90</v>
      </c>
      <c r="H206" s="154" t="s">
        <v>91</v>
      </c>
      <c r="I206" s="160" t="s">
        <v>92</v>
      </c>
    </row>
    <row r="207" spans="2:10" x14ac:dyDescent="0.25">
      <c r="B207" s="153" t="s">
        <v>80</v>
      </c>
      <c r="C207" s="157"/>
      <c r="D207" s="157">
        <v>457226</v>
      </c>
      <c r="E207" s="157"/>
      <c r="F207" s="162" t="s">
        <v>37</v>
      </c>
      <c r="G207" s="280">
        <f>(C207-D207)/D207</f>
        <v>-1</v>
      </c>
      <c r="H207" s="280">
        <f>(E207-D207)/D207</f>
        <v>-1</v>
      </c>
      <c r="I207" s="155"/>
    </row>
    <row r="208" spans="2:10" x14ac:dyDescent="0.25">
      <c r="B208" s="153" t="s">
        <v>81</v>
      </c>
      <c r="C208" s="157"/>
      <c r="D208" s="157">
        <v>457226</v>
      </c>
      <c r="E208" s="157"/>
      <c r="F208" s="162" t="s">
        <v>38</v>
      </c>
      <c r="G208" s="280">
        <f>(C208-D208)/D208</f>
        <v>-1</v>
      </c>
      <c r="H208" s="280">
        <f>(E208-D208)/D208</f>
        <v>-1</v>
      </c>
      <c r="I208" s="155"/>
    </row>
    <row r="209" spans="2:9" x14ac:dyDescent="0.25">
      <c r="B209" s="153" t="s">
        <v>88</v>
      </c>
      <c r="C209" s="157"/>
      <c r="D209" s="157">
        <v>457226</v>
      </c>
      <c r="E209" s="157"/>
      <c r="F209" s="162" t="s">
        <v>30</v>
      </c>
      <c r="G209" s="280">
        <f>(C209-D209)/D209</f>
        <v>-1</v>
      </c>
      <c r="H209" s="280">
        <f>(E209-D209)/D209</f>
        <v>-1</v>
      </c>
      <c r="I209" s="155"/>
    </row>
    <row r="210" spans="2:9" x14ac:dyDescent="0.25">
      <c r="B210" s="153" t="s">
        <v>89</v>
      </c>
      <c r="C210" s="157"/>
      <c r="D210" s="157">
        <v>457226</v>
      </c>
      <c r="E210" s="157"/>
      <c r="F210" s="162" t="s">
        <v>97</v>
      </c>
      <c r="G210" s="280">
        <f>(C210-D210)/D210</f>
        <v>-1</v>
      </c>
      <c r="H210" s="280">
        <f>(E210-D210)/D210</f>
        <v>-1</v>
      </c>
      <c r="I210" s="155"/>
    </row>
    <row r="211" spans="2:9" x14ac:dyDescent="0.25">
      <c r="B211" s="153" t="s">
        <v>82</v>
      </c>
      <c r="C211" s="157"/>
      <c r="D211" s="157">
        <v>457226</v>
      </c>
      <c r="E211" s="157"/>
      <c r="F211" s="162" t="s">
        <v>98</v>
      </c>
      <c r="G211" s="280">
        <f>(C211-D211)/D211</f>
        <v>-1</v>
      </c>
      <c r="H211" s="280">
        <f>(E211-D211)/D211</f>
        <v>-1</v>
      </c>
      <c r="I211" s="155"/>
    </row>
    <row r="214" spans="2:9" ht="20.25" x14ac:dyDescent="0.3">
      <c r="B214" s="281"/>
    </row>
  </sheetData>
  <mergeCells count="38">
    <mergeCell ref="B181:D181"/>
    <mergeCell ref="A25:A31"/>
    <mergeCell ref="A37:A40"/>
    <mergeCell ref="A46:A51"/>
    <mergeCell ref="A60:A66"/>
    <mergeCell ref="B178:J178"/>
    <mergeCell ref="B4:H22"/>
    <mergeCell ref="F38:J41"/>
    <mergeCell ref="F54:J57"/>
    <mergeCell ref="I62:M66"/>
    <mergeCell ref="F60:G60"/>
    <mergeCell ref="F25:J27"/>
    <mergeCell ref="B34:C34"/>
    <mergeCell ref="B24:D24"/>
    <mergeCell ref="I167:J175"/>
    <mergeCell ref="L165:N169"/>
    <mergeCell ref="H71:M73"/>
    <mergeCell ref="A76:A86"/>
    <mergeCell ref="A89:A96"/>
    <mergeCell ref="N139:R143"/>
    <mergeCell ref="H124:L126"/>
    <mergeCell ref="O96:R96"/>
    <mergeCell ref="N79:R80"/>
    <mergeCell ref="K98:M101"/>
    <mergeCell ref="E101:H104"/>
    <mergeCell ref="E114:H116"/>
    <mergeCell ref="N81:R84"/>
    <mergeCell ref="O91:Q94"/>
    <mergeCell ref="A70:A73"/>
    <mergeCell ref="B70:C70"/>
    <mergeCell ref="B201:J201"/>
    <mergeCell ref="B205:E205"/>
    <mergeCell ref="G205:I205"/>
    <mergeCell ref="D183:D187"/>
    <mergeCell ref="B189:J189"/>
    <mergeCell ref="G192:I192"/>
    <mergeCell ref="B193:D193"/>
    <mergeCell ref="G193:I193"/>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Análisis Sensibilidad</vt:lpstr>
      <vt:lpstr>Conceptos introductorios</vt:lpstr>
      <vt:lpstr>Flujo y análisis sensibilidad </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Marlon Velasquez</dc:creator>
  <cp:lastModifiedBy>Bolivar Solorzano</cp:lastModifiedBy>
  <dcterms:created xsi:type="dcterms:W3CDTF">2013-01-19T16:31:04Z</dcterms:created>
  <dcterms:modified xsi:type="dcterms:W3CDTF">2014-12-12T14:53:43Z</dcterms:modified>
</cp:coreProperties>
</file>