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3750" windowWidth="20520" windowHeight="3810"/>
  </bookViews>
  <sheets>
    <sheet name="Flujo " sheetId="1" r:id="rId1"/>
    <sheet name="Análisis Sensibilidad" sheetId="4" state="hidden" r:id="rId2"/>
  </sheets>
  <calcPr calcId="145621"/>
</workbook>
</file>

<file path=xl/calcChain.xml><?xml version="1.0" encoding="utf-8"?>
<calcChain xmlns="http://schemas.openxmlformats.org/spreadsheetml/2006/main">
  <c r="G63" i="1"/>
  <c r="L51" l="1"/>
  <c r="K51"/>
  <c r="J51"/>
  <c r="I51"/>
  <c r="H51"/>
  <c r="G51"/>
  <c r="F51"/>
  <c r="E51"/>
  <c r="D51"/>
  <c r="C51"/>
  <c r="L48"/>
  <c r="K48"/>
  <c r="J48"/>
  <c r="I48"/>
  <c r="H48"/>
  <c r="G48"/>
  <c r="F48"/>
  <c r="E48"/>
  <c r="D48"/>
  <c r="C48"/>
  <c r="C32" l="1"/>
  <c r="G93" i="4" l="1"/>
  <c r="F93"/>
  <c r="G92"/>
  <c r="F92"/>
  <c r="G91"/>
  <c r="F91"/>
  <c r="G90"/>
  <c r="F90"/>
  <c r="G89"/>
  <c r="F89"/>
  <c r="G81"/>
  <c r="G82"/>
  <c r="G83"/>
  <c r="G84"/>
  <c r="G80"/>
  <c r="F81"/>
  <c r="F82"/>
  <c r="F83"/>
  <c r="F84"/>
  <c r="F80"/>
  <c r="B7"/>
  <c r="D13" s="1"/>
  <c r="C35"/>
  <c r="D35"/>
  <c r="E35"/>
  <c r="F35"/>
  <c r="F33" s="1"/>
  <c r="G47" s="1"/>
  <c r="G35"/>
  <c r="H35"/>
  <c r="H33" s="1"/>
  <c r="I47" s="1"/>
  <c r="I35"/>
  <c r="J35"/>
  <c r="J33" s="1"/>
  <c r="K47" s="1"/>
  <c r="K35"/>
  <c r="B35"/>
  <c r="E34"/>
  <c r="F34"/>
  <c r="G34"/>
  <c r="H34"/>
  <c r="I34"/>
  <c r="J34"/>
  <c r="K34"/>
  <c r="D34"/>
  <c r="C34"/>
  <c r="B34"/>
  <c r="D32"/>
  <c r="E32"/>
  <c r="F32"/>
  <c r="G32"/>
  <c r="H32"/>
  <c r="I32"/>
  <c r="J32"/>
  <c r="K32"/>
  <c r="B32"/>
  <c r="E46"/>
  <c r="F46"/>
  <c r="G46"/>
  <c r="H46"/>
  <c r="I46"/>
  <c r="J46"/>
  <c r="K46"/>
  <c r="L46"/>
  <c r="B51"/>
  <c r="F58" s="1"/>
  <c r="E33"/>
  <c r="F47" s="1"/>
  <c r="G33"/>
  <c r="H47" s="1"/>
  <c r="I33"/>
  <c r="J47" s="1"/>
  <c r="K33"/>
  <c r="L47" s="1"/>
  <c r="B5"/>
  <c r="B45" s="1"/>
  <c r="B46"/>
  <c r="B47"/>
  <c r="B48"/>
  <c r="B49"/>
  <c r="B52"/>
  <c r="B9" l="1"/>
  <c r="C15" s="1"/>
  <c r="C33"/>
  <c r="D47" s="1"/>
  <c r="D33"/>
  <c r="E47" s="1"/>
  <c r="B33"/>
  <c r="C47" s="1"/>
  <c r="C46"/>
  <c r="B53"/>
  <c r="F57"/>
  <c r="F59" s="1"/>
  <c r="F61" s="1"/>
  <c r="B60"/>
  <c r="F60" l="1"/>
  <c r="F64" s="1"/>
  <c r="B58" s="1"/>
  <c r="C17"/>
  <c r="C21"/>
  <c r="C14"/>
  <c r="C18"/>
  <c r="C22"/>
  <c r="C19"/>
  <c r="C13"/>
  <c r="E13" s="1"/>
  <c r="C52" s="1"/>
  <c r="C16"/>
  <c r="C20"/>
  <c r="B14"/>
  <c r="B64"/>
  <c r="D14" l="1"/>
  <c r="E14" s="1"/>
  <c r="D52" s="1"/>
  <c r="B15" l="1"/>
  <c r="D15" l="1"/>
  <c r="E15" s="1"/>
  <c r="E52" s="1"/>
  <c r="D66" i="1"/>
  <c r="C66"/>
  <c r="D65"/>
  <c r="C65"/>
  <c r="D64"/>
  <c r="C64"/>
  <c r="D62"/>
  <c r="C62"/>
  <c r="L82"/>
  <c r="L131" s="1"/>
  <c r="K82"/>
  <c r="K131" s="1"/>
  <c r="J82"/>
  <c r="J131" s="1"/>
  <c r="I82"/>
  <c r="I131" s="1"/>
  <c r="H82"/>
  <c r="H131" s="1"/>
  <c r="G82"/>
  <c r="G131" s="1"/>
  <c r="F82"/>
  <c r="F131" s="1"/>
  <c r="E82"/>
  <c r="E131" s="1"/>
  <c r="D82"/>
  <c r="D131" s="1"/>
  <c r="C82"/>
  <c r="C131" s="1"/>
  <c r="L49"/>
  <c r="L77" s="1"/>
  <c r="K50"/>
  <c r="J50"/>
  <c r="I50"/>
  <c r="H49"/>
  <c r="H77" s="1"/>
  <c r="G50"/>
  <c r="F50"/>
  <c r="E50"/>
  <c r="D49"/>
  <c r="D77" s="1"/>
  <c r="C50"/>
  <c r="C81" s="1"/>
  <c r="E65" l="1"/>
  <c r="G65"/>
  <c r="D78"/>
  <c r="D79" s="1"/>
  <c r="L78"/>
  <c r="L79" s="1"/>
  <c r="C130"/>
  <c r="C80"/>
  <c r="D93" s="1"/>
  <c r="D143" s="1"/>
  <c r="H78"/>
  <c r="H79" s="1"/>
  <c r="E64"/>
  <c r="G64"/>
  <c r="E66"/>
  <c r="E72"/>
  <c r="F72" s="1"/>
  <c r="D126"/>
  <c r="F81"/>
  <c r="H126"/>
  <c r="J81"/>
  <c r="L126"/>
  <c r="C102"/>
  <c r="C104" s="1"/>
  <c r="C111" s="1"/>
  <c r="E111" s="1"/>
  <c r="C134" s="1"/>
  <c r="C90"/>
  <c r="F49"/>
  <c r="F77" s="1"/>
  <c r="J49"/>
  <c r="J77" s="1"/>
  <c r="D50"/>
  <c r="H50"/>
  <c r="L50"/>
  <c r="E81"/>
  <c r="G81"/>
  <c r="I81"/>
  <c r="K81"/>
  <c r="E62"/>
  <c r="C49"/>
  <c r="E49"/>
  <c r="E77" s="1"/>
  <c r="G49"/>
  <c r="G77" s="1"/>
  <c r="I49"/>
  <c r="I77" s="1"/>
  <c r="K49"/>
  <c r="K77" s="1"/>
  <c r="D149" l="1"/>
  <c r="E78"/>
  <c r="E79" s="1"/>
  <c r="K78"/>
  <c r="K79" s="1"/>
  <c r="G80"/>
  <c r="H93" s="1"/>
  <c r="H143" s="1"/>
  <c r="C129"/>
  <c r="J78"/>
  <c r="J79" s="1"/>
  <c r="L127"/>
  <c r="L128" s="1"/>
  <c r="D127"/>
  <c r="D128" s="1"/>
  <c r="I80"/>
  <c r="J93" s="1"/>
  <c r="J143" s="1"/>
  <c r="H127"/>
  <c r="H128" s="1"/>
  <c r="F80"/>
  <c r="G93" s="1"/>
  <c r="G143" s="1"/>
  <c r="I78"/>
  <c r="I79" s="1"/>
  <c r="E80"/>
  <c r="F93" s="1"/>
  <c r="F143" s="1"/>
  <c r="G78"/>
  <c r="G79" s="1"/>
  <c r="K80"/>
  <c r="L93" s="1"/>
  <c r="L143" s="1"/>
  <c r="F78"/>
  <c r="F79" s="1"/>
  <c r="J80"/>
  <c r="K93" s="1"/>
  <c r="K143" s="1"/>
  <c r="C107"/>
  <c r="C147"/>
  <c r="J130"/>
  <c r="K130"/>
  <c r="I130"/>
  <c r="G130"/>
  <c r="E130"/>
  <c r="F130"/>
  <c r="B38" i="4"/>
  <c r="B16"/>
  <c r="C140" i="1"/>
  <c r="K126"/>
  <c r="G126"/>
  <c r="C77"/>
  <c r="E71"/>
  <c r="F71" s="1"/>
  <c r="F73" s="1"/>
  <c r="E67"/>
  <c r="G62"/>
  <c r="H81"/>
  <c r="J126"/>
  <c r="C96"/>
  <c r="I126"/>
  <c r="E126"/>
  <c r="L81"/>
  <c r="D81"/>
  <c r="F126"/>
  <c r="D141" l="1"/>
  <c r="D91"/>
  <c r="M91"/>
  <c r="M141"/>
  <c r="F127"/>
  <c r="F128" s="1"/>
  <c r="I127"/>
  <c r="I128" s="1"/>
  <c r="G67"/>
  <c r="M95" s="1"/>
  <c r="M145" s="1"/>
  <c r="L50" i="4" s="1"/>
  <c r="G127" i="1"/>
  <c r="G128" s="1"/>
  <c r="I129"/>
  <c r="E129"/>
  <c r="J129"/>
  <c r="D113"/>
  <c r="D117"/>
  <c r="D111"/>
  <c r="F111" s="1"/>
  <c r="D118"/>
  <c r="D119"/>
  <c r="D112"/>
  <c r="D116"/>
  <c r="D120"/>
  <c r="D114"/>
  <c r="D115"/>
  <c r="D80"/>
  <c r="E93" s="1"/>
  <c r="E143" s="1"/>
  <c r="J84"/>
  <c r="F84"/>
  <c r="I84"/>
  <c r="E84"/>
  <c r="L84"/>
  <c r="H84"/>
  <c r="D84"/>
  <c r="K84"/>
  <c r="G84"/>
  <c r="C84"/>
  <c r="K127"/>
  <c r="K128" s="1"/>
  <c r="F129"/>
  <c r="K129"/>
  <c r="L80"/>
  <c r="M93" s="1"/>
  <c r="M143" s="1"/>
  <c r="J127"/>
  <c r="J128" s="1"/>
  <c r="E127"/>
  <c r="E128" s="1"/>
  <c r="H80"/>
  <c r="I93" s="1"/>
  <c r="I143" s="1"/>
  <c r="C78"/>
  <c r="C79" s="1"/>
  <c r="G129"/>
  <c r="L130"/>
  <c r="H130"/>
  <c r="D130"/>
  <c r="C146"/>
  <c r="C48" i="4"/>
  <c r="B36"/>
  <c r="B39" s="1"/>
  <c r="D16"/>
  <c r="E16" s="1"/>
  <c r="F52" s="1"/>
  <c r="J92" i="1"/>
  <c r="K92"/>
  <c r="L92"/>
  <c r="C126"/>
  <c r="C127" l="1"/>
  <c r="C128" s="1"/>
  <c r="L129"/>
  <c r="H129"/>
  <c r="D129"/>
  <c r="D148"/>
  <c r="C112"/>
  <c r="F92"/>
  <c r="F142" s="1"/>
  <c r="B40" i="4"/>
  <c r="C49" s="1"/>
  <c r="C150" i="1"/>
  <c r="C45" i="4"/>
  <c r="H92" i="1"/>
  <c r="H142" s="1"/>
  <c r="G92"/>
  <c r="G142" s="1"/>
  <c r="D133"/>
  <c r="D83"/>
  <c r="D85" s="1"/>
  <c r="D86" s="1"/>
  <c r="L133"/>
  <c r="L83"/>
  <c r="L85" s="1"/>
  <c r="L86" s="1"/>
  <c r="J133"/>
  <c r="J83"/>
  <c r="J85" s="1"/>
  <c r="J86" s="1"/>
  <c r="E133"/>
  <c r="E83"/>
  <c r="E85" s="1"/>
  <c r="E86" s="1"/>
  <c r="I133"/>
  <c r="I83"/>
  <c r="I85" s="1"/>
  <c r="I86" s="1"/>
  <c r="L142"/>
  <c r="K142"/>
  <c r="H133"/>
  <c r="H83"/>
  <c r="H85" s="1"/>
  <c r="H86" s="1"/>
  <c r="F133"/>
  <c r="F83"/>
  <c r="F85" s="1"/>
  <c r="F86" s="1"/>
  <c r="C83"/>
  <c r="C133"/>
  <c r="C132" s="1"/>
  <c r="G133"/>
  <c r="G83"/>
  <c r="G85" s="1"/>
  <c r="G86" s="1"/>
  <c r="K83"/>
  <c r="K85" s="1"/>
  <c r="K86" s="1"/>
  <c r="K133"/>
  <c r="M92"/>
  <c r="E92"/>
  <c r="I92"/>
  <c r="J142"/>
  <c r="C135" l="1"/>
  <c r="C136" s="1"/>
  <c r="E112"/>
  <c r="F112" s="1"/>
  <c r="E148" s="1"/>
  <c r="C53" i="4"/>
  <c r="B41"/>
  <c r="B17"/>
  <c r="M94" i="1"/>
  <c r="M96" s="1"/>
  <c r="I94"/>
  <c r="I96" s="1"/>
  <c r="I142"/>
  <c r="E94"/>
  <c r="E96" s="1"/>
  <c r="M142"/>
  <c r="F94"/>
  <c r="F96" s="1"/>
  <c r="E142"/>
  <c r="L94"/>
  <c r="L96" s="1"/>
  <c r="H94"/>
  <c r="H96" s="1"/>
  <c r="G94"/>
  <c r="G96" s="1"/>
  <c r="D92"/>
  <c r="C85"/>
  <c r="C86" s="1"/>
  <c r="J94"/>
  <c r="J96" s="1"/>
  <c r="K94"/>
  <c r="K96" s="1"/>
  <c r="E149" l="1"/>
  <c r="D134"/>
  <c r="D132" s="1"/>
  <c r="D135" s="1"/>
  <c r="D136" s="1"/>
  <c r="C38" i="4"/>
  <c r="D48" s="1"/>
  <c r="C113" i="1"/>
  <c r="E113" s="1"/>
  <c r="F149" s="1"/>
  <c r="D17" i="4"/>
  <c r="E17" s="1"/>
  <c r="G52" s="1"/>
  <c r="D94" i="1"/>
  <c r="D96" s="1"/>
  <c r="D144"/>
  <c r="D142"/>
  <c r="C39" i="4" l="1"/>
  <c r="C36"/>
  <c r="D146" i="1"/>
  <c r="C40" i="4"/>
  <c r="D49" s="1"/>
  <c r="E144" i="1"/>
  <c r="E146" s="1"/>
  <c r="E150" s="1"/>
  <c r="C41" i="4"/>
  <c r="E134" i="1"/>
  <c r="F113"/>
  <c r="F148" s="1"/>
  <c r="D150" l="1"/>
  <c r="D38" i="4"/>
  <c r="B18"/>
  <c r="C114" i="1"/>
  <c r="E114" s="1"/>
  <c r="E132"/>
  <c r="E135" l="1"/>
  <c r="E136" s="1"/>
  <c r="E48" i="4"/>
  <c r="D36"/>
  <c r="D18"/>
  <c r="E18" s="1"/>
  <c r="H52" s="1"/>
  <c r="G149" i="1"/>
  <c r="D39" i="4" l="1"/>
  <c r="D40"/>
  <c r="E49" s="1"/>
  <c r="E53" s="1"/>
  <c r="F144" i="1"/>
  <c r="F146" s="1"/>
  <c r="D41" i="4"/>
  <c r="F134" i="1"/>
  <c r="F114"/>
  <c r="G148" s="1"/>
  <c r="F150" l="1"/>
  <c r="E38" i="4"/>
  <c r="B19"/>
  <c r="D19" s="1"/>
  <c r="E19" s="1"/>
  <c r="I52" s="1"/>
  <c r="C115" i="1"/>
  <c r="E115" s="1"/>
  <c r="F132"/>
  <c r="F135" l="1"/>
  <c r="F136" s="1"/>
  <c r="F48" i="4"/>
  <c r="E36"/>
  <c r="H149" i="1"/>
  <c r="E39" i="4" l="1"/>
  <c r="E40"/>
  <c r="F49" s="1"/>
  <c r="F53" s="1"/>
  <c r="G144" i="1"/>
  <c r="G146" s="1"/>
  <c r="E41" i="4"/>
  <c r="G134" i="1"/>
  <c r="F115"/>
  <c r="H148" s="1"/>
  <c r="G150" l="1"/>
  <c r="F38" i="4"/>
  <c r="B20"/>
  <c r="D20" s="1"/>
  <c r="E20" s="1"/>
  <c r="J52" s="1"/>
  <c r="C116" i="1"/>
  <c r="E116" s="1"/>
  <c r="G132"/>
  <c r="G135" l="1"/>
  <c r="G136" s="1"/>
  <c r="H144" s="1"/>
  <c r="H146" s="1"/>
  <c r="G48" i="4"/>
  <c r="F36"/>
  <c r="I149" i="1"/>
  <c r="F39" i="4" l="1"/>
  <c r="H150" i="1"/>
  <c r="F40" i="4"/>
  <c r="G49" s="1"/>
  <c r="G53" s="1"/>
  <c r="F41"/>
  <c r="H134" i="1"/>
  <c r="F116"/>
  <c r="I148" s="1"/>
  <c r="G38" i="4" l="1"/>
  <c r="B21"/>
  <c r="D21" s="1"/>
  <c r="E21" s="1"/>
  <c r="K52" s="1"/>
  <c r="C117" i="1"/>
  <c r="E117" s="1"/>
  <c r="H132"/>
  <c r="H135" l="1"/>
  <c r="H136" s="1"/>
  <c r="H48" i="4"/>
  <c r="G36"/>
  <c r="J149" i="1"/>
  <c r="G39" i="4" l="1"/>
  <c r="G40"/>
  <c r="H49" s="1"/>
  <c r="H53" s="1"/>
  <c r="I144" i="1"/>
  <c r="I146" s="1"/>
  <c r="I150" s="1"/>
  <c r="G41" i="4"/>
  <c r="I134" i="1"/>
  <c r="F117"/>
  <c r="J148" s="1"/>
  <c r="H38" i="4" l="1"/>
  <c r="B22"/>
  <c r="D22" s="1"/>
  <c r="E22" s="1"/>
  <c r="L52" s="1"/>
  <c r="C118" i="1"/>
  <c r="E118" s="1"/>
  <c r="I132"/>
  <c r="I135" l="1"/>
  <c r="I136" s="1"/>
  <c r="I48" i="4"/>
  <c r="H36"/>
  <c r="K149" i="1"/>
  <c r="H39" i="4" l="1"/>
  <c r="H40"/>
  <c r="I49" s="1"/>
  <c r="I53" s="1"/>
  <c r="J144" i="1"/>
  <c r="J146" s="1"/>
  <c r="J150" s="1"/>
  <c r="H41" i="4"/>
  <c r="J134" i="1"/>
  <c r="F118"/>
  <c r="K148" s="1"/>
  <c r="I38" i="4" l="1"/>
  <c r="C119" i="1"/>
  <c r="E119" s="1"/>
  <c r="J132"/>
  <c r="J135" l="1"/>
  <c r="J136" s="1"/>
  <c r="J48" i="4"/>
  <c r="I36"/>
  <c r="L149" i="1"/>
  <c r="I39" i="4" l="1"/>
  <c r="I40"/>
  <c r="J49" s="1"/>
  <c r="J53" s="1"/>
  <c r="K144" i="1"/>
  <c r="K146" s="1"/>
  <c r="K150" s="1"/>
  <c r="I41" i="4"/>
  <c r="K134" i="1"/>
  <c r="F119"/>
  <c r="L148" s="1"/>
  <c r="J38" i="4" l="1"/>
  <c r="C120" i="1"/>
  <c r="K132"/>
  <c r="K135" l="1"/>
  <c r="K136" s="1"/>
  <c r="L144" s="1"/>
  <c r="L146" s="1"/>
  <c r="L150" s="1"/>
  <c r="E120"/>
  <c r="M149" s="1"/>
  <c r="K48" i="4"/>
  <c r="J36"/>
  <c r="F120" i="1" l="1"/>
  <c r="M148" s="1"/>
  <c r="J39" i="4"/>
  <c r="L134" i="1"/>
  <c r="K38" i="4" s="1"/>
  <c r="J40"/>
  <c r="K49" s="1"/>
  <c r="K53" s="1"/>
  <c r="J41"/>
  <c r="L132" i="1" l="1"/>
  <c r="L135" s="1"/>
  <c r="L136" s="1"/>
  <c r="L48" i="4"/>
  <c r="K36"/>
  <c r="K39" l="1"/>
  <c r="K40"/>
  <c r="L49" s="1"/>
  <c r="L53" s="1"/>
  <c r="M144" i="1"/>
  <c r="M146" s="1"/>
  <c r="K41" i="4"/>
  <c r="M150" i="1" l="1"/>
  <c r="C32" i="4"/>
  <c r="D46" s="1"/>
  <c r="D53" s="1"/>
  <c r="B59" l="1"/>
  <c r="B63"/>
  <c r="B65" s="1"/>
  <c r="B57"/>
  <c r="B62" l="1"/>
  <c r="C72"/>
</calcChain>
</file>

<file path=xl/comments1.xml><?xml version="1.0" encoding="utf-8"?>
<comments xmlns="http://schemas.openxmlformats.org/spreadsheetml/2006/main">
  <authors>
    <author>Marlon Velasquez</author>
    <author>Bolivar Solorzano</author>
  </authors>
  <commentList>
    <comment ref="C48" authorId="0">
      <text>
        <r>
          <rPr>
            <b/>
            <sz val="9"/>
            <color indexed="81"/>
            <rFont val="Tahoma"/>
            <family val="2"/>
          </rPr>
          <t>Marlon Velasquez:</t>
        </r>
        <r>
          <rPr>
            <sz val="9"/>
            <color indexed="81"/>
            <rFont val="Tahoma"/>
            <family val="2"/>
          </rPr>
          <t xml:space="preserve">
Es el resultado de multiplicar Cantidad a vender al 100%(u/año) del Cuadro 2 por la Fila Prog. Prod.(%) del Cuadro 3.</t>
        </r>
      </text>
    </comment>
    <comment ref="C49" authorId="0">
      <text>
        <r>
          <rPr>
            <b/>
            <sz val="9"/>
            <color indexed="81"/>
            <rFont val="Tahoma"/>
            <family val="2"/>
          </rPr>
          <t>Marlon Velasquez:</t>
        </r>
        <r>
          <rPr>
            <sz val="9"/>
            <color indexed="81"/>
            <rFont val="Tahoma"/>
            <family val="2"/>
          </rPr>
          <t xml:space="preserve">
Es el resultado de multiplicar Precio de Venta del Cuadro 2 por la Producción del Cuadro 3.</t>
        </r>
      </text>
    </comment>
    <comment ref="C50" authorId="0">
      <text>
        <r>
          <rPr>
            <b/>
            <sz val="9"/>
            <color indexed="81"/>
            <rFont val="Tahoma"/>
            <family val="2"/>
          </rPr>
          <t>Marlon Velasquez:</t>
        </r>
        <r>
          <rPr>
            <sz val="9"/>
            <color indexed="81"/>
            <rFont val="Tahoma"/>
            <family val="2"/>
          </rPr>
          <t xml:space="preserve">
Es el Resultado de multiplicar el Costo Variable del Cuadro 2 por la Producción del Cuadro 3</t>
        </r>
      </text>
    </comment>
    <comment ref="C51" authorId="0">
      <text>
        <r>
          <rPr>
            <b/>
            <sz val="9"/>
            <color indexed="81"/>
            <rFont val="Tahoma"/>
            <family val="2"/>
          </rPr>
          <t>Marlon Velasquez:</t>
        </r>
        <r>
          <rPr>
            <sz val="9"/>
            <color indexed="81"/>
            <rFont val="Tahoma"/>
            <family val="2"/>
          </rPr>
          <t xml:space="preserve">
Es el Costo Fijo del Cuadro 2, el supuesto es que es igual para todos los años.</t>
        </r>
      </text>
    </comment>
    <comment ref="C62" authorId="0">
      <text>
        <r>
          <rPr>
            <b/>
            <sz val="9"/>
            <color indexed="81"/>
            <rFont val="Tahoma"/>
            <family val="2"/>
          </rPr>
          <t>Marlon Velasquez:</t>
        </r>
        <r>
          <rPr>
            <sz val="9"/>
            <color indexed="81"/>
            <rFont val="Tahoma"/>
            <family val="2"/>
          </rPr>
          <t xml:space="preserve">
Viene del Cuadro 1
</t>
        </r>
      </text>
    </comment>
    <comment ref="D62" authorId="0">
      <text>
        <r>
          <rPr>
            <b/>
            <sz val="9"/>
            <color indexed="81"/>
            <rFont val="Tahoma"/>
            <family val="2"/>
          </rPr>
          <t>Marlon Velasquez:</t>
        </r>
        <r>
          <rPr>
            <sz val="9"/>
            <color indexed="81"/>
            <rFont val="Tahoma"/>
            <family val="2"/>
          </rPr>
          <t xml:space="preserve">
Viene del Cuadro 1
</t>
        </r>
      </text>
    </comment>
    <comment ref="G62" authorId="1">
      <text>
        <r>
          <rPr>
            <b/>
            <sz val="9"/>
            <color indexed="81"/>
            <rFont val="Tahoma"/>
            <charset val="1"/>
          </rPr>
          <t>Bolivar Solorzano:</t>
        </r>
        <r>
          <rPr>
            <sz val="9"/>
            <color indexed="81"/>
            <rFont val="Tahoma"/>
            <charset val="1"/>
          </rPr>
          <t xml:space="preserve">
Valor residual igual al valor contable.</t>
        </r>
      </text>
    </comment>
    <comment ref="G63" authorId="1">
      <text>
        <r>
          <rPr>
            <b/>
            <sz val="9"/>
            <color indexed="81"/>
            <rFont val="Tahoma"/>
            <charset val="1"/>
          </rPr>
          <t>Bolivar Solorzano:</t>
        </r>
        <r>
          <rPr>
            <sz val="9"/>
            <color indexed="81"/>
            <rFont val="Tahoma"/>
            <charset val="1"/>
          </rPr>
          <t xml:space="preserve">
Terrenos no se deprecian.</t>
        </r>
      </text>
    </comment>
    <comment ref="G64" authorId="1">
      <text>
        <r>
          <rPr>
            <b/>
            <sz val="9"/>
            <color indexed="81"/>
            <rFont val="Tahoma"/>
            <charset val="1"/>
          </rPr>
          <t>Bolivar Solorzano:</t>
        </r>
        <r>
          <rPr>
            <sz val="9"/>
            <color indexed="81"/>
            <rFont val="Tahoma"/>
            <charset val="1"/>
          </rPr>
          <t xml:space="preserve">
Valor residual igual al 10% del valor de compra.</t>
        </r>
      </text>
    </comment>
    <comment ref="G65" authorId="1">
      <text>
        <r>
          <rPr>
            <b/>
            <sz val="9"/>
            <color indexed="81"/>
            <rFont val="Tahoma"/>
            <charset val="1"/>
          </rPr>
          <t>Bolivar Solorzano:</t>
        </r>
        <r>
          <rPr>
            <sz val="9"/>
            <color indexed="81"/>
            <rFont val="Tahoma"/>
            <charset val="1"/>
          </rPr>
          <t xml:space="preserve">
Valor residual igual al 20% del valor de compra.</t>
        </r>
      </text>
    </comment>
    <comment ref="D71" authorId="0">
      <text>
        <r>
          <rPr>
            <b/>
            <sz val="9"/>
            <color indexed="81"/>
            <rFont val="Tahoma"/>
            <family val="2"/>
          </rPr>
          <t>Marlon Velasquez:</t>
        </r>
        <r>
          <rPr>
            <sz val="9"/>
            <color indexed="81"/>
            <rFont val="Tahoma"/>
            <family val="2"/>
          </rPr>
          <t xml:space="preserve">
Es un Supuesto</t>
        </r>
      </text>
    </comment>
    <comment ref="D72" authorId="0">
      <text>
        <r>
          <rPr>
            <b/>
            <sz val="9"/>
            <color indexed="81"/>
            <rFont val="Tahoma"/>
            <family val="2"/>
          </rPr>
          <t>Marlon Velasquez:</t>
        </r>
        <r>
          <rPr>
            <sz val="9"/>
            <color indexed="81"/>
            <rFont val="Tahoma"/>
            <family val="2"/>
          </rPr>
          <t xml:space="preserve">
Es un Supuesto
</t>
        </r>
      </text>
    </comment>
    <comment ref="C73" authorId="0">
      <text>
        <r>
          <rPr>
            <b/>
            <sz val="9"/>
            <color indexed="81"/>
            <rFont val="Tahoma"/>
            <family val="2"/>
          </rPr>
          <t>Marlon Velasquez:</t>
        </r>
        <r>
          <rPr>
            <sz val="9"/>
            <color indexed="81"/>
            <rFont val="Tahoma"/>
            <family val="2"/>
          </rPr>
          <t xml:space="preserve">
Es una Fórmula Contable de la Balance de una empresa
</t>
        </r>
      </text>
    </comment>
    <comment ref="C77" authorId="0">
      <text>
        <r>
          <rPr>
            <b/>
            <sz val="9"/>
            <color indexed="81"/>
            <rFont val="Tahoma"/>
            <family val="2"/>
          </rPr>
          <t>Marlon Velasquez:</t>
        </r>
        <r>
          <rPr>
            <sz val="9"/>
            <color indexed="81"/>
            <rFont val="Tahoma"/>
            <family val="2"/>
          </rPr>
          <t xml:space="preserve">
Viene de Ventas del Cuadro 3</t>
        </r>
      </text>
    </comment>
    <comment ref="C78" authorId="0">
      <text>
        <r>
          <rPr>
            <b/>
            <sz val="9"/>
            <color indexed="81"/>
            <rFont val="Tahoma"/>
            <family val="2"/>
          </rPr>
          <t>Marlon Velasquez:</t>
        </r>
        <r>
          <rPr>
            <sz val="9"/>
            <color indexed="81"/>
            <rFont val="Tahoma"/>
            <family val="2"/>
          </rPr>
          <t xml:space="preserve">
Es el Resultado de multiplicarel porcentaje de comisiones sobre ventas del Cuadro 2 por la Fila de Ventas del Cuadro 6</t>
        </r>
      </text>
    </comment>
    <comment ref="C80" authorId="1">
      <text>
        <r>
          <rPr>
            <b/>
            <sz val="9"/>
            <color indexed="81"/>
            <rFont val="Tahoma"/>
            <family val="2"/>
          </rPr>
          <t>Bolivar Solorzano:</t>
        </r>
        <r>
          <rPr>
            <sz val="9"/>
            <color indexed="81"/>
            <rFont val="Tahoma"/>
            <family val="2"/>
          </rPr>
          <t xml:space="preserve">
Suma de costos fijos y costos variables del Cuadro 6.</t>
        </r>
      </text>
    </comment>
    <comment ref="C81" authorId="0">
      <text>
        <r>
          <rPr>
            <b/>
            <sz val="9"/>
            <color indexed="81"/>
            <rFont val="Tahoma"/>
            <family val="2"/>
          </rPr>
          <t>Marlon Velasquez:</t>
        </r>
        <r>
          <rPr>
            <sz val="9"/>
            <color indexed="81"/>
            <rFont val="Tahoma"/>
            <family val="2"/>
          </rPr>
          <t xml:space="preserve">
Viene del Cuadro 3
</t>
        </r>
      </text>
    </comment>
    <comment ref="C82" authorId="0">
      <text>
        <r>
          <rPr>
            <b/>
            <sz val="9"/>
            <color indexed="81"/>
            <rFont val="Tahoma"/>
            <family val="2"/>
          </rPr>
          <t>Marlon Velasquez:</t>
        </r>
        <r>
          <rPr>
            <sz val="9"/>
            <color indexed="81"/>
            <rFont val="Tahoma"/>
            <family val="2"/>
          </rPr>
          <t xml:space="preserve">
Viene del Cuadro 3
</t>
        </r>
      </text>
    </comment>
    <comment ref="C84" authorId="0">
      <text>
        <r>
          <rPr>
            <b/>
            <sz val="9"/>
            <color indexed="81"/>
            <rFont val="Tahoma"/>
            <family val="2"/>
          </rPr>
          <t>Marlon Velasquez:</t>
        </r>
        <r>
          <rPr>
            <sz val="9"/>
            <color indexed="81"/>
            <rFont val="Tahoma"/>
            <family val="2"/>
          </rPr>
          <t xml:space="preserve">
Viene del Cuadro 4
</t>
        </r>
      </text>
    </comment>
    <comment ref="C86" authorId="0">
      <text>
        <r>
          <rPr>
            <b/>
            <sz val="9"/>
            <color indexed="81"/>
            <rFont val="Tahoma"/>
            <family val="2"/>
          </rPr>
          <t>Marlon Velasquez:</t>
        </r>
        <r>
          <rPr>
            <sz val="9"/>
            <color indexed="81"/>
            <rFont val="Tahoma"/>
            <family val="2"/>
          </rPr>
          <t xml:space="preserve">
Es el resultado de multiplicar la Utilidad Bruta del Cuadro 6 por el Impuesto a las Utilidades del Cuadro 2</t>
        </r>
      </text>
    </comment>
    <comment ref="C90" authorId="0">
      <text>
        <r>
          <rPr>
            <b/>
            <sz val="9"/>
            <color indexed="81"/>
            <rFont val="Tahoma"/>
            <family val="2"/>
          </rPr>
          <t>Marlon Velasquez:</t>
        </r>
        <r>
          <rPr>
            <sz val="9"/>
            <color indexed="81"/>
            <rFont val="Tahoma"/>
            <family val="2"/>
          </rPr>
          <t xml:space="preserve">
Viene del Cuadro 1, es negativo por ser un egreso</t>
        </r>
      </text>
    </comment>
    <comment ref="D91" authorId="0">
      <text>
        <r>
          <rPr>
            <b/>
            <sz val="9"/>
            <color indexed="81"/>
            <rFont val="Tahoma"/>
            <family val="2"/>
          </rPr>
          <t>Marlon Velasquez:</t>
        </r>
        <r>
          <rPr>
            <sz val="9"/>
            <color indexed="81"/>
            <rFont val="Tahoma"/>
            <family val="2"/>
          </rPr>
          <t xml:space="preserve">
Viene del Cuadro 5</t>
        </r>
      </text>
    </comment>
    <comment ref="D92" authorId="0">
      <text>
        <r>
          <rPr>
            <b/>
            <sz val="9"/>
            <color indexed="81"/>
            <rFont val="Tahoma"/>
            <family val="2"/>
          </rPr>
          <t>Marlon Velasquez:</t>
        </r>
        <r>
          <rPr>
            <sz val="9"/>
            <color indexed="81"/>
            <rFont val="Tahoma"/>
            <family val="2"/>
          </rPr>
          <t xml:space="preserve">
Viene de Ingreso Neto del Cuadro 6</t>
        </r>
      </text>
    </comment>
    <comment ref="D93" authorId="0">
      <text>
        <r>
          <rPr>
            <b/>
            <sz val="9"/>
            <color indexed="81"/>
            <rFont val="Tahoma"/>
            <family val="2"/>
          </rPr>
          <t>Marlon Velasquez:</t>
        </r>
        <r>
          <rPr>
            <sz val="9"/>
            <color indexed="81"/>
            <rFont val="Tahoma"/>
            <family val="2"/>
          </rPr>
          <t xml:space="preserve">
Viene de Costos Operativos del Cuadro 6</t>
        </r>
      </text>
    </comment>
    <comment ref="D94" authorId="0">
      <text>
        <r>
          <rPr>
            <b/>
            <sz val="9"/>
            <color indexed="81"/>
            <rFont val="Tahoma"/>
            <family val="2"/>
          </rPr>
          <t>Marlon Velasquez:</t>
        </r>
        <r>
          <rPr>
            <sz val="9"/>
            <color indexed="81"/>
            <rFont val="Tahoma"/>
            <family val="2"/>
          </rPr>
          <t xml:space="preserve">
Viene de Impuestos a utilidades del Cuadro 6</t>
        </r>
      </text>
    </comment>
    <comment ref="M95" authorId="0">
      <text>
        <r>
          <rPr>
            <b/>
            <sz val="9"/>
            <color indexed="81"/>
            <rFont val="Tahoma"/>
            <charset val="1"/>
          </rPr>
          <t>Marlon Velasquez:</t>
        </r>
        <r>
          <rPr>
            <sz val="9"/>
            <color indexed="81"/>
            <rFont val="Tahoma"/>
            <charset val="1"/>
          </rPr>
          <t xml:space="preserve">
Viene del Valor de Desecho de los activos del Cuadro 4</t>
        </r>
      </text>
    </comment>
    <comment ref="C125" authorId="1">
      <text>
        <r>
          <rPr>
            <b/>
            <sz val="9"/>
            <color indexed="81"/>
            <rFont val="Tahoma"/>
            <charset val="1"/>
          </rPr>
          <t>Bolivar Solorzano:</t>
        </r>
        <r>
          <rPr>
            <sz val="9"/>
            <color indexed="81"/>
            <rFont val="Tahoma"/>
            <charset val="1"/>
          </rPr>
          <t xml:space="preserve">
Igual al cuadro 6, excepto lo indicado.</t>
        </r>
      </text>
    </comment>
    <comment ref="C134" authorId="1">
      <text>
        <r>
          <rPr>
            <b/>
            <sz val="9"/>
            <color indexed="81"/>
            <rFont val="Tahoma"/>
            <charset val="1"/>
          </rPr>
          <t>Bolivar Solorzano:</t>
        </r>
        <r>
          <rPr>
            <sz val="9"/>
            <color indexed="81"/>
            <rFont val="Tahoma"/>
            <charset val="1"/>
          </rPr>
          <t xml:space="preserve">
Viene de Cuadro 9.</t>
        </r>
      </text>
    </comment>
    <comment ref="C139" authorId="1">
      <text>
        <r>
          <rPr>
            <b/>
            <sz val="9"/>
            <color indexed="81"/>
            <rFont val="Tahoma"/>
            <charset val="1"/>
          </rPr>
          <t>Bolivar Solorzano:</t>
        </r>
        <r>
          <rPr>
            <sz val="9"/>
            <color indexed="81"/>
            <rFont val="Tahoma"/>
            <charset val="1"/>
          </rPr>
          <t xml:space="preserve">
Igual al Cuadro 7, excepto lo indicado.</t>
        </r>
      </text>
    </comment>
    <comment ref="D139" authorId="1">
      <text>
        <r>
          <rPr>
            <b/>
            <sz val="9"/>
            <color indexed="81"/>
            <rFont val="Tahoma"/>
            <charset val="1"/>
          </rPr>
          <t>Bolivar Solorzano:</t>
        </r>
        <r>
          <rPr>
            <sz val="9"/>
            <color indexed="81"/>
            <rFont val="Tahoma"/>
            <charset val="1"/>
          </rPr>
          <t xml:space="preserve">
Igual al Cuadro 7, excepto lo indicado.</t>
        </r>
      </text>
    </comment>
    <comment ref="D144" authorId="0">
      <text>
        <r>
          <rPr>
            <b/>
            <sz val="9"/>
            <color indexed="81"/>
            <rFont val="Tahoma"/>
            <family val="2"/>
          </rPr>
          <t>Marlon Velasquez:</t>
        </r>
        <r>
          <rPr>
            <sz val="9"/>
            <color indexed="81"/>
            <rFont val="Tahoma"/>
            <family val="2"/>
          </rPr>
          <t xml:space="preserve">
Viene del Cuadro 10</t>
        </r>
      </text>
    </comment>
    <comment ref="C147" authorId="0">
      <text>
        <r>
          <rPr>
            <b/>
            <sz val="9"/>
            <color indexed="81"/>
            <rFont val="Tahoma"/>
            <family val="2"/>
          </rPr>
          <t>Marlon Velasquez:</t>
        </r>
        <r>
          <rPr>
            <sz val="9"/>
            <color indexed="81"/>
            <rFont val="Tahoma"/>
            <family val="2"/>
          </rPr>
          <t xml:space="preserve">
Viene del Cuadro 8
</t>
        </r>
      </text>
    </comment>
    <comment ref="D148" authorId="0">
      <text>
        <r>
          <rPr>
            <b/>
            <sz val="9"/>
            <color indexed="81"/>
            <rFont val="Tahoma"/>
            <family val="2"/>
          </rPr>
          <t>Marlon Velasquez:</t>
        </r>
        <r>
          <rPr>
            <sz val="9"/>
            <color indexed="81"/>
            <rFont val="Tahoma"/>
            <family val="2"/>
          </rPr>
          <t xml:space="preserve">
Viene del Cuadro 9
</t>
        </r>
      </text>
    </comment>
    <comment ref="D149" authorId="1">
      <text>
        <r>
          <rPr>
            <b/>
            <sz val="9"/>
            <color indexed="81"/>
            <rFont val="Tahoma"/>
            <charset val="1"/>
          </rPr>
          <t>Bolivar Solorzano:</t>
        </r>
        <r>
          <rPr>
            <sz val="9"/>
            <color indexed="81"/>
            <rFont val="Tahoma"/>
            <charset val="1"/>
          </rPr>
          <t xml:space="preserve">
Viene del Cuadro 9
</t>
        </r>
      </text>
    </comment>
  </commentList>
</comments>
</file>

<file path=xl/comments2.xml><?xml version="1.0" encoding="utf-8"?>
<comments xmlns="http://schemas.openxmlformats.org/spreadsheetml/2006/main">
  <authors>
    <author>Marlon Velasquez</author>
  </authors>
  <commentList>
    <comment ref="B28" authorId="0">
      <text>
        <r>
          <rPr>
            <b/>
            <sz val="9"/>
            <color indexed="81"/>
            <rFont val="Tahoma"/>
            <family val="2"/>
          </rPr>
          <t>Marlon Velasquez:</t>
        </r>
        <r>
          <rPr>
            <sz val="9"/>
            <color indexed="81"/>
            <rFont val="Tahoma"/>
            <family val="2"/>
          </rPr>
          <t xml:space="preserve">
Viene de Ventas del Cuadro 3</t>
        </r>
      </text>
    </comment>
    <comment ref="B29" authorId="0">
      <text>
        <r>
          <rPr>
            <b/>
            <sz val="9"/>
            <color indexed="81"/>
            <rFont val="Tahoma"/>
            <family val="2"/>
          </rPr>
          <t>Marlon Velasquez:</t>
        </r>
        <r>
          <rPr>
            <sz val="9"/>
            <color indexed="81"/>
            <rFont val="Tahoma"/>
            <family val="2"/>
          </rPr>
          <t xml:space="preserve">
Es el Resultado de multiplicar la Tasa del Impuesto de Ventas del Cuadro 2 por la Fila de Ventas del Cuadro 6</t>
        </r>
      </text>
    </comment>
    <comment ref="B30" authorId="0">
      <text>
        <r>
          <rPr>
            <b/>
            <sz val="9"/>
            <color indexed="81"/>
            <rFont val="Tahoma"/>
            <family val="2"/>
          </rPr>
          <t>Marlon Velasquez:</t>
        </r>
        <r>
          <rPr>
            <sz val="9"/>
            <color indexed="81"/>
            <rFont val="Tahoma"/>
            <family val="2"/>
          </rPr>
          <t xml:space="preserve">
Es el resultado de multiplicar la suma de Costos Variables y Costo Fijos del Cuadro 6 por el Impuesto de Ventas del Cuadro 2</t>
        </r>
      </text>
    </comment>
    <comment ref="B31" authorId="0">
      <text>
        <r>
          <rPr>
            <b/>
            <sz val="9"/>
            <color indexed="81"/>
            <rFont val="Tahoma"/>
            <family val="2"/>
          </rPr>
          <t>Marlon Velasquez:</t>
        </r>
        <r>
          <rPr>
            <sz val="9"/>
            <color indexed="81"/>
            <rFont val="Tahoma"/>
            <family val="2"/>
          </rPr>
          <t xml:space="preserve">
Es el resultado de multiplicar la Fila de Ventas del Cuadro 6 por el Impuesto a las Transacciones del Cuadro 2</t>
        </r>
      </text>
    </comment>
    <comment ref="B34" authorId="0">
      <text>
        <r>
          <rPr>
            <b/>
            <sz val="9"/>
            <color indexed="81"/>
            <rFont val="Tahoma"/>
            <family val="2"/>
          </rPr>
          <t>Marlon Velasquez:</t>
        </r>
        <r>
          <rPr>
            <sz val="9"/>
            <color indexed="81"/>
            <rFont val="Tahoma"/>
            <family val="2"/>
          </rPr>
          <t xml:space="preserve">
Viene del Cuadro 3
</t>
        </r>
      </text>
    </comment>
    <comment ref="B35" authorId="0">
      <text>
        <r>
          <rPr>
            <b/>
            <sz val="9"/>
            <color indexed="81"/>
            <rFont val="Tahoma"/>
            <family val="2"/>
          </rPr>
          <t>Marlon Velasquez:</t>
        </r>
        <r>
          <rPr>
            <sz val="9"/>
            <color indexed="81"/>
            <rFont val="Tahoma"/>
            <family val="2"/>
          </rPr>
          <t xml:space="preserve">
Viene del Cuadro 3
</t>
        </r>
      </text>
    </comment>
    <comment ref="B37" authorId="0">
      <text>
        <r>
          <rPr>
            <b/>
            <sz val="9"/>
            <color indexed="81"/>
            <rFont val="Tahoma"/>
            <family val="2"/>
          </rPr>
          <t>Marlon Velasquez:</t>
        </r>
        <r>
          <rPr>
            <sz val="9"/>
            <color indexed="81"/>
            <rFont val="Tahoma"/>
            <family val="2"/>
          </rPr>
          <t xml:space="preserve">
Viene del Cuadro 4
</t>
        </r>
      </text>
    </comment>
    <comment ref="B40" authorId="0">
      <text>
        <r>
          <rPr>
            <b/>
            <sz val="9"/>
            <color indexed="81"/>
            <rFont val="Tahoma"/>
            <family val="2"/>
          </rPr>
          <t>Marlon Velasquez:</t>
        </r>
        <r>
          <rPr>
            <sz val="9"/>
            <color indexed="81"/>
            <rFont val="Tahoma"/>
            <family val="2"/>
          </rPr>
          <t xml:space="preserve">
Es el resultado de multiplicar la Utilidad Bruta del Cuadro 10 por el Impuesto a las Utilidades del Cuadro 2 (22%)</t>
        </r>
      </text>
    </comment>
    <comment ref="B45" authorId="0">
      <text>
        <r>
          <rPr>
            <b/>
            <sz val="9"/>
            <color indexed="81"/>
            <rFont val="Tahoma"/>
            <family val="2"/>
          </rPr>
          <t>Marlon Velasquez:</t>
        </r>
        <r>
          <rPr>
            <sz val="9"/>
            <color indexed="81"/>
            <rFont val="Tahoma"/>
            <family val="2"/>
          </rPr>
          <t xml:space="preserve">
Viene del Cuadro 1, es negativo por ser un egreso</t>
        </r>
      </text>
    </comment>
    <comment ref="C45" authorId="0">
      <text>
        <r>
          <rPr>
            <b/>
            <sz val="9"/>
            <color indexed="81"/>
            <rFont val="Tahoma"/>
            <family val="2"/>
          </rPr>
          <t>Marlon Velasquez:</t>
        </r>
        <r>
          <rPr>
            <sz val="9"/>
            <color indexed="81"/>
            <rFont val="Tahoma"/>
            <family val="2"/>
          </rPr>
          <t xml:space="preserve">
Viene del Cuadro 5</t>
        </r>
      </text>
    </comment>
    <comment ref="C46" authorId="0">
      <text>
        <r>
          <rPr>
            <b/>
            <sz val="9"/>
            <color indexed="81"/>
            <rFont val="Tahoma"/>
            <family val="2"/>
          </rPr>
          <t>Marlon Velasquez:</t>
        </r>
        <r>
          <rPr>
            <sz val="9"/>
            <color indexed="81"/>
            <rFont val="Tahoma"/>
            <family val="2"/>
          </rPr>
          <t xml:space="preserve">
Viene de Ingreso Neto del Cuadro 6</t>
        </r>
      </text>
    </comment>
    <comment ref="C47" authorId="0">
      <text>
        <r>
          <rPr>
            <b/>
            <sz val="9"/>
            <color indexed="81"/>
            <rFont val="Tahoma"/>
            <family val="2"/>
          </rPr>
          <t>Marlon Velasquez:</t>
        </r>
        <r>
          <rPr>
            <sz val="9"/>
            <color indexed="81"/>
            <rFont val="Tahoma"/>
            <family val="2"/>
          </rPr>
          <t xml:space="preserve">
Viene de Costos Operativos del Cuadro 6</t>
        </r>
      </text>
    </comment>
    <comment ref="C48" authorId="0">
      <text>
        <r>
          <rPr>
            <b/>
            <sz val="9"/>
            <color indexed="81"/>
            <rFont val="Tahoma"/>
            <family val="2"/>
          </rPr>
          <t>Marlon Velasquez:</t>
        </r>
        <r>
          <rPr>
            <sz val="9"/>
            <color indexed="81"/>
            <rFont val="Tahoma"/>
            <family val="2"/>
          </rPr>
          <t xml:space="preserve">
Viene del Cuadro 9</t>
        </r>
      </text>
    </comment>
    <comment ref="C49" authorId="0">
      <text>
        <r>
          <rPr>
            <b/>
            <sz val="9"/>
            <color indexed="81"/>
            <rFont val="Tahoma"/>
            <family val="2"/>
          </rPr>
          <t>Marlon Velasquez:</t>
        </r>
        <r>
          <rPr>
            <sz val="9"/>
            <color indexed="81"/>
            <rFont val="Tahoma"/>
            <family val="2"/>
          </rPr>
          <t xml:space="preserve">
A los Ingresos se le resta los Costos Operativos, los Costos Financieros, la Depreciación, y al resultado se le multiplica por 25% de impuestos</t>
        </r>
      </text>
    </comment>
    <comment ref="L50" authorId="0">
      <text>
        <r>
          <rPr>
            <b/>
            <sz val="9"/>
            <color indexed="81"/>
            <rFont val="Tahoma"/>
            <charset val="1"/>
          </rPr>
          <t>Marlon Velasquez:</t>
        </r>
        <r>
          <rPr>
            <sz val="9"/>
            <color indexed="81"/>
            <rFont val="Tahoma"/>
            <charset val="1"/>
          </rPr>
          <t xml:space="preserve">
Viene del Valor de Desecho de las Obras Civiles del Cuadro 4</t>
        </r>
      </text>
    </comment>
    <comment ref="B51" authorId="0">
      <text>
        <r>
          <rPr>
            <b/>
            <sz val="9"/>
            <color indexed="81"/>
            <rFont val="Tahoma"/>
            <family val="2"/>
          </rPr>
          <t>Marlon Velasquez:</t>
        </r>
        <r>
          <rPr>
            <sz val="9"/>
            <color indexed="81"/>
            <rFont val="Tahoma"/>
            <family val="2"/>
          </rPr>
          <t xml:space="preserve">
Viene del Cuadro 8
</t>
        </r>
      </text>
    </comment>
    <comment ref="C52" authorId="0">
      <text>
        <r>
          <rPr>
            <b/>
            <sz val="9"/>
            <color indexed="81"/>
            <rFont val="Tahoma"/>
            <family val="2"/>
          </rPr>
          <t>Marlon Velasquez:</t>
        </r>
        <r>
          <rPr>
            <sz val="9"/>
            <color indexed="81"/>
            <rFont val="Tahoma"/>
            <family val="2"/>
          </rPr>
          <t xml:space="preserve">
Viene del Cuadro 9
</t>
        </r>
      </text>
    </comment>
    <comment ref="B57" authorId="0">
      <text>
        <r>
          <rPr>
            <b/>
            <sz val="9"/>
            <color indexed="81"/>
            <rFont val="Tahoma"/>
            <family val="2"/>
          </rPr>
          <t>Marlon Velasquez:</t>
        </r>
        <r>
          <rPr>
            <sz val="9"/>
            <color indexed="81"/>
            <rFont val="Tahoma"/>
            <family val="2"/>
          </rPr>
          <t xml:space="preserve">
Es el Valor de todos flujos traídos a valor presente con la tasa ponderada del proyecto</t>
        </r>
      </text>
    </comment>
    <comment ref="F57" authorId="0">
      <text>
        <r>
          <rPr>
            <b/>
            <sz val="9"/>
            <color indexed="81"/>
            <rFont val="Tahoma"/>
            <family val="2"/>
          </rPr>
          <t>Marlon Velasquez:</t>
        </r>
        <r>
          <rPr>
            <sz val="9"/>
            <color indexed="81"/>
            <rFont val="Tahoma"/>
            <family val="2"/>
          </rPr>
          <t xml:space="preserve">
Viene del Cuadro 11 de la línea de Inversión en el Año 0.</t>
        </r>
      </text>
    </comment>
    <comment ref="B58" authorId="0">
      <text>
        <r>
          <rPr>
            <b/>
            <sz val="9"/>
            <color indexed="81"/>
            <rFont val="Tahoma"/>
            <family val="2"/>
          </rPr>
          <t>Marlon Velasquez:</t>
        </r>
        <r>
          <rPr>
            <sz val="9"/>
            <color indexed="81"/>
            <rFont val="Tahoma"/>
            <family val="2"/>
          </rPr>
          <t xml:space="preserve">
Por ser un proyecto financiado, entonces se calcula una tasa ponderada entre la tasa de Rendimiento que quiere el inversionista y la tasa de financiamiento.</t>
        </r>
      </text>
    </comment>
    <comment ref="F58" authorId="0">
      <text>
        <r>
          <rPr>
            <b/>
            <sz val="9"/>
            <color indexed="81"/>
            <rFont val="Tahoma"/>
            <family val="2"/>
          </rPr>
          <t>Marlon Velasquez:</t>
        </r>
        <r>
          <rPr>
            <sz val="9"/>
            <color indexed="81"/>
            <rFont val="Tahoma"/>
            <family val="2"/>
          </rPr>
          <t xml:space="preserve">
Viene del Cuadro 11 de la línea de Préstamo o Deuda en el Año 0.</t>
        </r>
      </text>
    </comment>
    <comment ref="B59" authorId="0">
      <text>
        <r>
          <rPr>
            <b/>
            <sz val="9"/>
            <color indexed="81"/>
            <rFont val="Tahoma"/>
            <family val="2"/>
          </rPr>
          <t>Marlon Velasquez:</t>
        </r>
        <r>
          <rPr>
            <sz val="9"/>
            <color indexed="81"/>
            <rFont val="Tahoma"/>
            <family val="2"/>
          </rPr>
          <t xml:space="preserve">
Es la tasa donde el VAN del proyecto se hace 0.</t>
        </r>
      </text>
    </comment>
    <comment ref="F59" authorId="0">
      <text>
        <r>
          <rPr>
            <b/>
            <sz val="9"/>
            <color indexed="81"/>
            <rFont val="Tahoma"/>
            <family val="2"/>
          </rPr>
          <t>Marlon Velasquez:</t>
        </r>
        <r>
          <rPr>
            <sz val="9"/>
            <color indexed="81"/>
            <rFont val="Tahoma"/>
            <family val="2"/>
          </rPr>
          <t xml:space="preserve">
Diferencia entre la Inversión y el Préstamo</t>
        </r>
      </text>
    </comment>
    <comment ref="F60" authorId="0">
      <text>
        <r>
          <rPr>
            <b/>
            <sz val="9"/>
            <color indexed="81"/>
            <rFont val="Tahoma"/>
            <family val="2"/>
          </rPr>
          <t>Marlon Velasquez:</t>
        </r>
        <r>
          <rPr>
            <sz val="9"/>
            <color indexed="81"/>
            <rFont val="Tahoma"/>
            <family val="2"/>
          </rPr>
          <t xml:space="preserve">
Porcentaje del Capital Propio en relación con la Inversión </t>
        </r>
      </text>
    </comment>
    <comment ref="F61" authorId="0">
      <text>
        <r>
          <rPr>
            <b/>
            <sz val="9"/>
            <color indexed="81"/>
            <rFont val="Tahoma"/>
            <family val="2"/>
          </rPr>
          <t>Marlon Velasquez:</t>
        </r>
        <r>
          <rPr>
            <sz val="9"/>
            <color indexed="81"/>
            <rFont val="Tahoma"/>
            <family val="2"/>
          </rPr>
          <t xml:space="preserve">
Porcentaje del Préstamo en relación con la Inversión </t>
        </r>
      </text>
    </comment>
    <comment ref="B62" authorId="0">
      <text>
        <r>
          <rPr>
            <b/>
            <sz val="9"/>
            <color indexed="81"/>
            <rFont val="Tahoma"/>
            <family val="2"/>
          </rPr>
          <t>Marlon Velasquez:</t>
        </r>
        <r>
          <rPr>
            <sz val="9"/>
            <color indexed="81"/>
            <rFont val="Tahoma"/>
            <family val="2"/>
          </rPr>
          <t xml:space="preserve">
Es el VAN dividido entre la Inversión</t>
        </r>
      </text>
    </comment>
    <comment ref="F62" authorId="0">
      <text>
        <r>
          <rPr>
            <b/>
            <sz val="9"/>
            <color indexed="81"/>
            <rFont val="Tahoma"/>
            <family val="2"/>
          </rPr>
          <t>Marlon Velasquez:</t>
        </r>
        <r>
          <rPr>
            <sz val="9"/>
            <color indexed="81"/>
            <rFont val="Tahoma"/>
            <family val="2"/>
          </rPr>
          <t xml:space="preserve">
Es la tasa de financiamiento definida por la entidad que presta el dinero.</t>
        </r>
      </text>
    </comment>
    <comment ref="B63" authorId="0">
      <text>
        <r>
          <rPr>
            <b/>
            <sz val="9"/>
            <color indexed="81"/>
            <rFont val="Tahoma"/>
            <family val="2"/>
          </rPr>
          <t>Marlon Velasquez:</t>
        </r>
        <r>
          <rPr>
            <sz val="9"/>
            <color indexed="81"/>
            <rFont val="Tahoma"/>
            <family val="2"/>
          </rPr>
          <t xml:space="preserve">
Viene del Cuadro 11, es el Valor Presente de lo Flujos Positivos del Flujo Neto</t>
        </r>
      </text>
    </comment>
    <comment ref="F63" authorId="0">
      <text>
        <r>
          <rPr>
            <b/>
            <sz val="9"/>
            <color indexed="81"/>
            <rFont val="Tahoma"/>
            <family val="2"/>
          </rPr>
          <t>Marlon Velasquez:</t>
        </r>
        <r>
          <rPr>
            <sz val="9"/>
            <color indexed="81"/>
            <rFont val="Tahoma"/>
            <family val="2"/>
          </rPr>
          <t xml:space="preserve">
La Rentabilidad que espera la empresa se determina tomando en consideración la Tasa libre de riesgo a la mejor opción existente al momento de evaluar el proyecto, a la tasa de retorno esperada para el mercado, al coeficiente BETA y para ciertos análisis se agrega la tasa por por riesgo de pais. Para efectos del curso, no se va a entrar en detalle como se hace el cálculo de la Tasa de rentabilidad del Capital propio, sencillamente se indica la tasa.</t>
        </r>
      </text>
    </comment>
    <comment ref="B64" authorId="0">
      <text>
        <r>
          <rPr>
            <b/>
            <sz val="9"/>
            <color indexed="81"/>
            <rFont val="Tahoma"/>
            <family val="2"/>
          </rPr>
          <t>Marlon Velasquez:</t>
        </r>
        <r>
          <rPr>
            <sz val="9"/>
            <color indexed="81"/>
            <rFont val="Tahoma"/>
            <family val="2"/>
          </rPr>
          <t xml:space="preserve">
Viene del Cuadro 11, es el Valor Presente de los Flujos Negativos del Flujo Neto</t>
        </r>
      </text>
    </comment>
    <comment ref="F64" authorId="0">
      <text>
        <r>
          <rPr>
            <b/>
            <sz val="9"/>
            <color indexed="81"/>
            <rFont val="Tahoma"/>
            <family val="2"/>
          </rPr>
          <t>Marlon Velasquez:</t>
        </r>
        <r>
          <rPr>
            <sz val="9"/>
            <color indexed="81"/>
            <rFont val="Tahoma"/>
            <family val="2"/>
          </rPr>
          <t xml:space="preserve">
La tasa Ponderada para el proyecto se obtiene de sumar                                      (Prest/Inv)*Tasa Prest. + (Cap. Prop./Inv)*Tasa Cap. Prop</t>
        </r>
      </text>
    </comment>
    <comment ref="B65" authorId="0">
      <text>
        <r>
          <rPr>
            <b/>
            <sz val="9"/>
            <color indexed="81"/>
            <rFont val="Tahoma"/>
            <family val="2"/>
          </rPr>
          <t>Marlon Velasquez:</t>
        </r>
        <r>
          <rPr>
            <sz val="9"/>
            <color indexed="81"/>
            <rFont val="Tahoma"/>
            <family val="2"/>
          </rPr>
          <t xml:space="preserve">
Es la división entre Valor Presente Flujos Positivos y los Negativos.</t>
        </r>
      </text>
    </comment>
  </commentList>
</comments>
</file>

<file path=xl/sharedStrings.xml><?xml version="1.0" encoding="utf-8"?>
<sst xmlns="http://schemas.openxmlformats.org/spreadsheetml/2006/main" count="248" uniqueCount="163">
  <si>
    <t>Inversiones</t>
  </si>
  <si>
    <t>$US</t>
  </si>
  <si>
    <t>Vida útil (años)</t>
  </si>
  <si>
    <t>Terrenos</t>
  </si>
  <si>
    <t>Obras civiles</t>
  </si>
  <si>
    <t>Equipos:</t>
  </si>
  <si>
    <t>Equipo A</t>
  </si>
  <si>
    <t>Equipo B</t>
  </si>
  <si>
    <t>Equipo C</t>
  </si>
  <si>
    <t>Total de Inversiones</t>
  </si>
  <si>
    <t>Cantidad a vender al 100% (u/año) =</t>
  </si>
  <si>
    <t>Impuestos a las Utilidades</t>
  </si>
  <si>
    <t>Año</t>
  </si>
  <si>
    <t>Progr. Prod. (%)</t>
  </si>
  <si>
    <t>Producción (u)</t>
  </si>
  <si>
    <t>V. Desecho</t>
  </si>
  <si>
    <t>V. U. (años)</t>
  </si>
  <si>
    <t>Año 5</t>
  </si>
  <si>
    <t>Año 10</t>
  </si>
  <si>
    <t>Capital de Trabajo año 1:</t>
  </si>
  <si>
    <t>%</t>
  </si>
  <si>
    <t>Año 1</t>
  </si>
  <si>
    <t>Act.C.- Pas. C</t>
  </si>
  <si>
    <t>CONCEPTO</t>
  </si>
  <si>
    <t>Ventas</t>
  </si>
  <si>
    <t>IVA Ventas (11%)</t>
  </si>
  <si>
    <t>IVA Compras (11%)</t>
  </si>
  <si>
    <t>IT (2%)</t>
  </si>
  <si>
    <t>INGRESO NETO (1)</t>
  </si>
  <si>
    <t>Costos Operativos</t>
  </si>
  <si>
    <t>Costos Variables</t>
  </si>
  <si>
    <t>Costo fijo</t>
  </si>
  <si>
    <t>Costo No operat.</t>
  </si>
  <si>
    <t xml:space="preserve">Depreciación </t>
  </si>
  <si>
    <t>UTILIDAD BRUTA</t>
  </si>
  <si>
    <t>I. U. E. (22%)</t>
  </si>
  <si>
    <t>UTILIDAD NETA</t>
  </si>
  <si>
    <t>Inversión</t>
  </si>
  <si>
    <t>Ingresos</t>
  </si>
  <si>
    <t>Costos Operat.</t>
  </si>
  <si>
    <t>Impuestos</t>
  </si>
  <si>
    <t>Valor Desecho</t>
  </si>
  <si>
    <t>Flujo Neto</t>
  </si>
  <si>
    <t>Valor Actual Neto VAN (17%)=</t>
  </si>
  <si>
    <t xml:space="preserve">Tasa Interna de Retorno TIR = </t>
  </si>
  <si>
    <t>Cuadro 8 Información Financiera y Cuota</t>
  </si>
  <si>
    <t>Inversión fija=</t>
  </si>
  <si>
    <t>Préstamo(P) =</t>
  </si>
  <si>
    <t>interés(i) =</t>
  </si>
  <si>
    <t>Años(n) =</t>
  </si>
  <si>
    <t>Cuota (C)=</t>
  </si>
  <si>
    <t>Cuadro 9 Pagos de Deuda</t>
  </si>
  <si>
    <t>Deuda o Saldo</t>
  </si>
  <si>
    <t>Cuota</t>
  </si>
  <si>
    <t>Intereses</t>
  </si>
  <si>
    <t>Amortización</t>
  </si>
  <si>
    <t>Cuadro 10 Cuenta de Resultados con Financiamiento</t>
  </si>
  <si>
    <t>Costo Financiero (Intereses)</t>
  </si>
  <si>
    <t>Cuadro 11 Flujo de Caja del Proyecto de Inversión con Financiamiento</t>
  </si>
  <si>
    <t>Préstamo o Deuda</t>
  </si>
  <si>
    <t>Préstamo</t>
  </si>
  <si>
    <t>Capital Propio</t>
  </si>
  <si>
    <t>Descripción</t>
  </si>
  <si>
    <t>Datos</t>
  </si>
  <si>
    <t>Valor Presente Flujos Positivos</t>
  </si>
  <si>
    <t>Valor Presente Flujos Negativos</t>
  </si>
  <si>
    <t>Prést/Inver (%)</t>
  </si>
  <si>
    <t>Cap.Prop./Inv (%)</t>
  </si>
  <si>
    <t>Tasa Prést. (%)</t>
  </si>
  <si>
    <t>Tasa Cap. Prop (%)</t>
  </si>
  <si>
    <t>Tasa Ponderada del Proyecto</t>
  </si>
  <si>
    <t>Tasa Ponderada (%)</t>
  </si>
  <si>
    <t>VAN</t>
  </si>
  <si>
    <t>Rentabilidad</t>
  </si>
  <si>
    <t>Costo Beneficio</t>
  </si>
  <si>
    <t>ANÁLISIS DE SENSIBILIDAD</t>
  </si>
  <si>
    <t>Aumento o Disminución de Inversión</t>
  </si>
  <si>
    <t>Aumento o Disminución de Ingresos</t>
  </si>
  <si>
    <t>Aumento o Disminución de Tasas de Interés</t>
  </si>
  <si>
    <t>Aum. o Dism.%</t>
  </si>
  <si>
    <t>Dism.10%</t>
  </si>
  <si>
    <t>Dism.5%</t>
  </si>
  <si>
    <t>Aum. 5%</t>
  </si>
  <si>
    <t>Aum. 10%</t>
  </si>
  <si>
    <t>Aumento o Disminución de Costos Variables</t>
  </si>
  <si>
    <t>Aumento o Disminución de Costos Fijos</t>
  </si>
  <si>
    <t>Desv.% (-)</t>
  </si>
  <si>
    <t>Desv.% (+)</t>
  </si>
  <si>
    <t>Condición Sensibilidad</t>
  </si>
  <si>
    <t>Alta</t>
  </si>
  <si>
    <t>Media</t>
  </si>
  <si>
    <t>Baja</t>
  </si>
  <si>
    <t>Variable de sensibilidad</t>
  </si>
  <si>
    <t>Costos Fijos</t>
  </si>
  <si>
    <t>Tasa interés</t>
  </si>
  <si>
    <t>PRACTICA</t>
  </si>
  <si>
    <t>PASOS</t>
  </si>
  <si>
    <t>5. Practique con un aumento y disminución de las variables de un 5%, para que observen su sensibilidad.</t>
  </si>
  <si>
    <t>6. Por otro lado, puede también poner una combinanción de aumento o disminución de las variables a la vez, solo que para ello tendrían que montar los cuadros del VAN específicos para cada escenario.</t>
  </si>
  <si>
    <r>
      <rPr>
        <b/>
        <sz val="11"/>
        <color theme="1"/>
        <rFont val="Calibri"/>
        <family val="2"/>
        <scheme val="minor"/>
      </rPr>
      <t>NOTA</t>
    </r>
    <r>
      <rPr>
        <sz val="11"/>
        <color theme="1"/>
        <rFont val="Calibri"/>
        <family val="2"/>
        <scheme val="minor"/>
      </rPr>
      <t>: El ejemplo es el mismo visto en el Flujo de Caja, solo que tiene aplicada las fórmulas para afectar porcentualmente según las variables analizadas.</t>
    </r>
  </si>
  <si>
    <t>CUADRO 12 INDICADORES FINANCIEROS CON FINANCIAMIENTO</t>
  </si>
  <si>
    <t>CUADRO 13 CÁLCULO DE LA TASA</t>
  </si>
  <si>
    <t>CUADRO 14 Aumento o Diminución de variables y el VAN</t>
  </si>
  <si>
    <t>CUADRO 15 -VAN, VAN, +VAN</t>
  </si>
  <si>
    <t>CUADRO 16 variación % VAN y Sensibilidad</t>
  </si>
  <si>
    <t>1. Identificar que las variables de sensibilidad a analizar son la Inversión, los Ingresos, los Costos Variables, los Costos Fijos y la Tasa de Interés (Ver Cuadro 14)</t>
  </si>
  <si>
    <t>2. En la casilla  B71 (Cuadro 14)se indica el porcentaje que estaría variando el rubro de Inversión, por ejemplo si disminuye un 10% se pone -10%, y el resultado del VAN (casilla C71) se escribe en la casilla B88, eso sí, las casillas subsiguientes deben estar en 0%. De igual forma se hace con el aumento de 10% se pone 10%, y el resultado se escribe en la casilla D88.</t>
  </si>
  <si>
    <t>4. En el Cuadro 16, van a observar automáticamente como se comporta el VAN del proyecto, o sea que tan sensible es según la variable que se analice.</t>
  </si>
  <si>
    <t>3. Se hace lo mismo con las otras variables, pero recuerde que cuando ingrese los datos, las demás deben estar en 0%, y el dato del VAN se pone en la casilla correspondiente de la columna B (disminución) o D(aumento) del Cuado 15.</t>
  </si>
  <si>
    <t>Este cuadro recoge toda la información relacionada con los activos fijos que requiere el proyecto y que se van a depreciar según la vida útil de cada uno de ellos.</t>
  </si>
  <si>
    <t>Flujo del Accionista</t>
  </si>
  <si>
    <t>Impuestos a utilidades(22%)</t>
  </si>
  <si>
    <t>Impuestos a utilidades</t>
  </si>
  <si>
    <t>Impuestos a utilidades (22%)</t>
  </si>
  <si>
    <t>CASO "La Mueblería"</t>
  </si>
  <si>
    <t>% Préstamo sobre Inversión</t>
  </si>
  <si>
    <t>El Cuadro 4 calcula la Depreciación de los Activos de forma lineal, donde el valor del activo se divide entre la vida útil en años.</t>
  </si>
  <si>
    <t>Capital de Trabajo</t>
  </si>
  <si>
    <t>En el Cuadro 10, lo que nos interesa es calcular solamente los impuestos a las utilidades, y se parte del principio que la información de la cuenta de resultados se aplica igual en tiempo el flujo de efectivo, pero en éste caso se le agregan los intereses.</t>
  </si>
  <si>
    <t>Cuadro 1: Costos de Inversión</t>
  </si>
  <si>
    <t>Cuadro 2: Datos Generales</t>
  </si>
  <si>
    <t>Precio de venta ($/u) =</t>
  </si>
  <si>
    <t>Costo variable ($/u) =</t>
  </si>
  <si>
    <t>Costo fijo ($/año) =</t>
  </si>
  <si>
    <t>El Cuadro 2 recoge la información esencial para el desarrollo del caso, y las fórmulas de la hoja de cálculo están ligadas a la misma.</t>
  </si>
  <si>
    <t>Cuadro 3: Flujo de Caja Inicial</t>
  </si>
  <si>
    <t>Ventas ($)</t>
  </si>
  <si>
    <t>Costo Var. ($)</t>
  </si>
  <si>
    <t>Costo Fijo ($)</t>
  </si>
  <si>
    <t>En el Cuadro 3 se indica lo que produce y vende la mueblería y se estiman, a su vez, los costos fijos y variables que están relacionados con la producción.</t>
  </si>
  <si>
    <t>Cuadro 4: Depreciación de Activos</t>
  </si>
  <si>
    <t>Costo ($)</t>
  </si>
  <si>
    <t>Total depreciación por año</t>
  </si>
  <si>
    <t>Dep. año ($)</t>
  </si>
  <si>
    <t>Cuadro 5: Capital de Trabajo</t>
  </si>
  <si>
    <t>Activo Circulante ($):</t>
  </si>
  <si>
    <t>Pasivo Circulante ($):</t>
  </si>
  <si>
    <t>25% ventas</t>
  </si>
  <si>
    <t>30% costos operativos</t>
  </si>
  <si>
    <t xml:space="preserve">Capital de Trabajo ($) = </t>
  </si>
  <si>
    <t>En el Cuadro 5, se establece el capital de trabajo para que la empresa inicie sus operaciones.  Para éste caso, se supone que sólo va requerir dicho capital para el año 1 y luego se mantiene igual, o sea no hay variaciones, por eso se pone igual a 0 en los años siguientes.</t>
  </si>
  <si>
    <t>En el Cuadro 6, lo que nos interesa es calcular solamente los impuestos a las utilidades, y se parte del principio de que la información de la cuenta de resultados se aplica igual en tiempo al flujo de efectivo.</t>
  </si>
  <si>
    <t>Vida útil proyecto (años)</t>
  </si>
  <si>
    <t>Cuadro 6: Cuenta de Resultados</t>
  </si>
  <si>
    <t>Cuadro 7: Flujo de Caja del Proyecto de Inversión</t>
  </si>
  <si>
    <t>Valor Desecho Activos</t>
  </si>
  <si>
    <t>En el Cuadro 7 se resume la información de todos lo flujos para obtener el Flujo Neto de Efectivo del proyecto sin financiamiento.</t>
  </si>
  <si>
    <t>Cuadro 8: Información Financiera y Cuota</t>
  </si>
  <si>
    <t>En el Cuadro 8, se establece el porcentaje de la inversión que se financiará por medio de un endeudamiento.  También se indica la tasa de la deuda.</t>
  </si>
  <si>
    <t>Inversión en activos fijos</t>
  </si>
  <si>
    <t>Préstamo (P)</t>
  </si>
  <si>
    <t>interés (i)</t>
  </si>
  <si>
    <t>Años (n)</t>
  </si>
  <si>
    <t>Cuota (C)</t>
  </si>
  <si>
    <t>Cuadro 9: Pagos de Deuda</t>
  </si>
  <si>
    <t>En el Cuadro 9 se muestra la cuota a pagar por la deuda, y se deglosa en amortización e intereses.  Se muestra también el saldo de la deuda en cada período.</t>
  </si>
  <si>
    <t>Cuadro 10: Cuenta de Resultados con Financiamiento</t>
  </si>
  <si>
    <t>Cuadro 11: Flujo de Caja del Proyecto de Inversión con Financiamiento</t>
  </si>
  <si>
    <t>SI CONSIDERAMOS FINANCIAR EL PROYECTO…</t>
  </si>
  <si>
    <t>Observen y analicen las diferencias entre hacer el proyecto con o sin financiamiento.</t>
  </si>
  <si>
    <t>Comisiones sobre Ventas</t>
  </si>
  <si>
    <t>Comisiones sobre Ventas (11%)</t>
  </si>
  <si>
    <t>Una empresa industrial desea invertir en un proyecto de fabricación de muebles de madera para exportación.  Se cuenta con la siguiente información:                                                                                                                                                                               
La vida útil del proyecto de inversión es de 10 años, y el programa de producción se prevé de la siguiente manera:
Año 1: 60% de capacidad instalada
Año 2: 80% de capacidad instalada
Año 3 al 10: 100% de capacidad instalada
Se tienen activos corrientes valorados al 25% de las ventas y pasivos corrientes valorados al 30% de los costos operativos.
Cantidad a vender será 5,000 unidades por año, al 100% de capacidad instalada, y a un precio de venta de US$80 por unidad.
Costo variable facturado es de US$25 por unidad, y costo fijo es de US$30,000 por año.
El impuesto sobre utilidades tiene una alícuota de 22%. Se pagan, además, comisiones sobre ventas de 11%.
El costo de capital para la empresa es de 18%.
Se prevé invertir $50,000 en terrenos, $140,000 en obras civiles (vida útil de 25 años), $150,000 en el equipo A (vida útil 10 años), $40,000 en el equipo B (vida útil 10 años), y $90,000 en el equipo C (vida útil 10 años).  La depreciación de los activos se hará por el método de la línea recta. El valor de mercado, al final de la vida útil del proyecto, para las obras civiles es igual al valor contable, y para el equipo A y el equipo B es de 10% y 20% del valor de compra, respectivamente.  El valor del equipo C al final del proyecto es cero.
Se pide determinar: 
El flujo de caja relevante de la inversión.
Si el proyecto considera un préstamo por el 70% de la inversión en activos fijos con las siguientes condiciones: tasa de interés 11% anual, 10 años de plazo, pagadero anualmente con amortizaciones iguales, ¿cuál será el efecto del apalancamiento financiero?</t>
  </si>
</sst>
</file>

<file path=xl/styles.xml><?xml version="1.0" encoding="utf-8"?>
<styleSheet xmlns="http://schemas.openxmlformats.org/spreadsheetml/2006/main">
  <numFmts count="3">
    <numFmt numFmtId="164" formatCode="&quot;$&quot;#,##0.00_);[Red]\(&quot;$&quot;#,##0.00\)"/>
    <numFmt numFmtId="165" formatCode="#,##0.000000"/>
    <numFmt numFmtId="166" formatCode="#,##0.0000000"/>
  </numFmts>
  <fonts count="24">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4"/>
      <color theme="1"/>
      <name val="Arial"/>
      <family val="2"/>
    </font>
    <font>
      <sz val="26"/>
      <color theme="1"/>
      <name val="Arial"/>
      <family val="2"/>
    </font>
    <font>
      <b/>
      <sz val="11"/>
      <color theme="1"/>
      <name val="Arial"/>
      <family val="2"/>
    </font>
    <font>
      <sz val="11"/>
      <color theme="1"/>
      <name val="Arial"/>
      <family val="2"/>
    </font>
    <font>
      <b/>
      <sz val="26"/>
      <color theme="1"/>
      <name val="Arial"/>
      <family val="2"/>
    </font>
    <font>
      <sz val="12"/>
      <color theme="1"/>
      <name val="Calibri"/>
      <family val="2"/>
      <scheme val="minor"/>
    </font>
    <font>
      <sz val="12"/>
      <color theme="1"/>
      <name val="Arial"/>
      <family val="2"/>
    </font>
    <font>
      <b/>
      <sz val="11"/>
      <color rgb="FFFF0000"/>
      <name val="Arial"/>
      <family val="2"/>
    </font>
    <font>
      <b/>
      <sz val="12"/>
      <color theme="1"/>
      <name val="Arial"/>
      <family val="2"/>
    </font>
    <font>
      <b/>
      <sz val="16"/>
      <color theme="1"/>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b/>
      <sz val="14"/>
      <color rgb="FF003366"/>
      <name val="Arial"/>
      <family val="2"/>
    </font>
    <font>
      <sz val="11"/>
      <color rgb="FF000000"/>
      <name val="Arial"/>
      <family val="2"/>
    </font>
    <font>
      <b/>
      <sz val="16"/>
      <color rgb="FFFF0000"/>
      <name val="Arial"/>
      <family val="2"/>
    </font>
    <font>
      <b/>
      <sz val="16"/>
      <color rgb="FF0070C0"/>
      <name val="Arial"/>
      <family val="2"/>
    </font>
    <font>
      <sz val="11"/>
      <color rgb="FF0070C0"/>
      <name val="Calibri"/>
      <family val="2"/>
      <scheme val="minor"/>
    </font>
    <font>
      <b/>
      <sz val="18"/>
      <color rgb="FF0070C0"/>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B0F0"/>
        <bgColor indexed="64"/>
      </patternFill>
    </fill>
  </fills>
  <borders count="64">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style="thin">
        <color theme="0"/>
      </top>
      <bottom style="thin">
        <color theme="0"/>
      </bottom>
      <diagonal/>
    </border>
    <border>
      <left style="medium">
        <color rgb="FF0070C0"/>
      </left>
      <right style="thin">
        <color theme="0"/>
      </right>
      <top style="medium">
        <color rgb="FF0070C0"/>
      </top>
      <bottom style="thin">
        <color theme="0"/>
      </bottom>
      <diagonal/>
    </border>
    <border>
      <left style="thin">
        <color theme="0"/>
      </left>
      <right style="thin">
        <color theme="0"/>
      </right>
      <top style="medium">
        <color rgb="FF0070C0"/>
      </top>
      <bottom style="thin">
        <color theme="0"/>
      </bottom>
      <diagonal/>
    </border>
    <border>
      <left style="thin">
        <color theme="0"/>
      </left>
      <right style="medium">
        <color rgb="FF0070C0"/>
      </right>
      <top style="medium">
        <color rgb="FF0070C0"/>
      </top>
      <bottom style="thin">
        <color theme="0"/>
      </bottom>
      <diagonal/>
    </border>
    <border>
      <left style="medium">
        <color rgb="FF0070C0"/>
      </left>
      <right style="thin">
        <color theme="0"/>
      </right>
      <top style="thin">
        <color theme="0"/>
      </top>
      <bottom style="thin">
        <color theme="0"/>
      </bottom>
      <diagonal/>
    </border>
    <border>
      <left style="thin">
        <color theme="0"/>
      </left>
      <right style="medium">
        <color rgb="FF0070C0"/>
      </right>
      <top style="thin">
        <color theme="0"/>
      </top>
      <bottom style="thin">
        <color theme="0"/>
      </bottom>
      <diagonal/>
    </border>
    <border>
      <left style="medium">
        <color rgb="FF0070C0"/>
      </left>
      <right style="thin">
        <color theme="0"/>
      </right>
      <top style="thin">
        <color theme="0"/>
      </top>
      <bottom style="medium">
        <color rgb="FF0070C0"/>
      </bottom>
      <diagonal/>
    </border>
    <border>
      <left style="thin">
        <color theme="0"/>
      </left>
      <right style="thin">
        <color theme="0"/>
      </right>
      <top style="thin">
        <color theme="0"/>
      </top>
      <bottom style="medium">
        <color rgb="FF0070C0"/>
      </bottom>
      <diagonal/>
    </border>
    <border>
      <left style="thin">
        <color theme="0"/>
      </left>
      <right style="medium">
        <color rgb="FF0070C0"/>
      </right>
      <top style="thin">
        <color theme="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style="thin">
        <color indexed="64"/>
      </left>
      <right style="thin">
        <color indexed="64"/>
      </right>
      <top style="medium">
        <color rgb="FF0070C0"/>
      </top>
      <bottom style="medium">
        <color rgb="FF007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rgb="FF0070C0"/>
      </top>
      <bottom style="medium">
        <color indexed="64"/>
      </bottom>
      <diagonal/>
    </border>
    <border>
      <left style="thin">
        <color indexed="64"/>
      </left>
      <right style="thin">
        <color indexed="64"/>
      </right>
      <top style="medium">
        <color rgb="FF0070C0"/>
      </top>
      <bottom style="medium">
        <color indexed="64"/>
      </bottom>
      <diagonal/>
    </border>
    <border>
      <left style="thin">
        <color indexed="64"/>
      </left>
      <right style="medium">
        <color indexed="64"/>
      </right>
      <top style="medium">
        <color rgb="FF0070C0"/>
      </top>
      <bottom style="medium">
        <color indexed="64"/>
      </bottom>
      <diagonal/>
    </border>
    <border>
      <left style="medium">
        <color indexed="64"/>
      </left>
      <right style="thin">
        <color indexed="64"/>
      </right>
      <top style="medium">
        <color rgb="FF0070C0"/>
      </top>
      <bottom style="medium">
        <color rgb="FF0070C0"/>
      </bottom>
      <diagonal/>
    </border>
    <border>
      <left style="thin">
        <color indexed="64"/>
      </left>
      <right style="medium">
        <color indexed="64"/>
      </right>
      <top style="medium">
        <color rgb="FF0070C0"/>
      </top>
      <bottom style="medium">
        <color rgb="FF0070C0"/>
      </bottom>
      <diagonal/>
    </border>
  </borders>
  <cellStyleXfs count="2">
    <xf numFmtId="0" fontId="0" fillId="0" borderId="0"/>
    <xf numFmtId="9" fontId="1" fillId="0" borderId="0" applyFont="0" applyFill="0" applyBorder="0" applyAlignment="0" applyProtection="0"/>
  </cellStyleXfs>
  <cellXfs count="304">
    <xf numFmtId="0" fontId="0" fillId="0" borderId="0" xfId="0"/>
    <xf numFmtId="0" fontId="3" fillId="0" borderId="0" xfId="0" applyFont="1"/>
    <xf numFmtId="3" fontId="3" fillId="0" borderId="0" xfId="0" applyNumberFormat="1" applyFont="1"/>
    <xf numFmtId="0" fontId="4" fillId="0" borderId="0" xfId="0" applyFont="1"/>
    <xf numFmtId="0" fontId="6" fillId="2" borderId="2" xfId="0" applyFont="1" applyFill="1" applyBorder="1" applyAlignment="1">
      <alignment horizontal="left"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7" fillId="2" borderId="0" xfId="0" applyNumberFormat="1" applyFont="1" applyFill="1"/>
    <xf numFmtId="0" fontId="7" fillId="2" borderId="0" xfId="0" applyFont="1" applyFill="1"/>
    <xf numFmtId="0" fontId="7" fillId="0" borderId="5" xfId="0" applyFont="1" applyBorder="1" applyAlignment="1">
      <alignment horizontal="left" vertical="center" wrapText="1"/>
    </xf>
    <xf numFmtId="3" fontId="7" fillId="0" borderId="7" xfId="0" applyNumberFormat="1" applyFont="1" applyBorder="1"/>
    <xf numFmtId="3" fontId="7" fillId="0" borderId="0" xfId="0" applyNumberFormat="1" applyFont="1"/>
    <xf numFmtId="0" fontId="7" fillId="0" borderId="0" xfId="0" applyFont="1"/>
    <xf numFmtId="3" fontId="7" fillId="0" borderId="7" xfId="0" applyNumberFormat="1" applyFont="1" applyBorder="1" applyAlignment="1">
      <alignment horizontal="center" vertical="center" wrapText="1"/>
    </xf>
    <xf numFmtId="3" fontId="7" fillId="0" borderId="6" xfId="0" applyNumberFormat="1" applyFont="1" applyBorder="1"/>
    <xf numFmtId="3" fontId="7" fillId="0" borderId="1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7" fillId="0" borderId="11" xfId="0" applyFont="1" applyBorder="1" applyAlignment="1">
      <alignment horizontal="left" vertical="center" wrapText="1"/>
    </xf>
    <xf numFmtId="3" fontId="7" fillId="0" borderId="13" xfId="0" applyNumberFormat="1" applyFont="1" applyBorder="1" applyAlignment="1">
      <alignment horizontal="right" vertical="center" wrapText="1"/>
    </xf>
    <xf numFmtId="0" fontId="7" fillId="0" borderId="0" xfId="0" applyFont="1" applyBorder="1" applyAlignment="1">
      <alignment horizontal="left" vertical="center" wrapText="1"/>
    </xf>
    <xf numFmtId="3" fontId="7" fillId="0" borderId="0" xfId="0" applyNumberFormat="1" applyFont="1" applyBorder="1" applyAlignment="1">
      <alignment horizontal="left" vertical="center" wrapText="1"/>
    </xf>
    <xf numFmtId="3" fontId="7" fillId="0" borderId="0" xfId="0" applyNumberFormat="1" applyFont="1" applyBorder="1" applyAlignment="1">
      <alignment horizontal="right" vertical="center" wrapText="1"/>
    </xf>
    <xf numFmtId="0" fontId="7" fillId="0" borderId="5" xfId="0" applyFont="1" applyFill="1" applyBorder="1" applyAlignment="1">
      <alignment horizontal="left" vertical="center" wrapText="1"/>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3" fontId="6" fillId="0" borderId="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7" fillId="0" borderId="2" xfId="0" applyNumberFormat="1" applyFont="1" applyBorder="1" applyAlignment="1">
      <alignment horizontal="center"/>
    </xf>
    <xf numFmtId="3" fontId="7" fillId="0" borderId="3" xfId="0" applyNumberFormat="1" applyFont="1" applyBorder="1" applyAlignment="1">
      <alignment horizontal="center"/>
    </xf>
    <xf numFmtId="0" fontId="6" fillId="0" borderId="5" xfId="0" applyNumberFormat="1" applyFont="1" applyBorder="1" applyAlignment="1">
      <alignment horizontal="left" vertical="center"/>
    </xf>
    <xf numFmtId="0" fontId="7" fillId="0" borderId="5" xfId="0" applyNumberFormat="1" applyFont="1" applyBorder="1" applyAlignment="1">
      <alignment horizontal="left" vertical="center"/>
    </xf>
    <xf numFmtId="3" fontId="7" fillId="0" borderId="6" xfId="0" applyNumberFormat="1" applyFont="1" applyBorder="1" applyAlignment="1">
      <alignment horizontal="right" vertical="center"/>
    </xf>
    <xf numFmtId="0" fontId="7" fillId="0" borderId="14" xfId="0" applyNumberFormat="1" applyFont="1" applyBorder="1" applyAlignment="1">
      <alignment horizontal="left" vertical="center"/>
    </xf>
    <xf numFmtId="0" fontId="7" fillId="0" borderId="11" xfId="0" applyNumberFormat="1" applyFont="1" applyBorder="1" applyAlignment="1">
      <alignment horizontal="left" vertical="center"/>
    </xf>
    <xf numFmtId="0" fontId="7" fillId="0" borderId="0" xfId="0" applyNumberFormat="1" applyFont="1" applyBorder="1" applyAlignment="1">
      <alignment horizontal="left" vertical="center"/>
    </xf>
    <xf numFmtId="3" fontId="7" fillId="0" borderId="0" xfId="0" applyNumberFormat="1" applyFont="1" applyBorder="1" applyAlignment="1">
      <alignment horizontal="right" vertical="center"/>
    </xf>
    <xf numFmtId="3" fontId="7" fillId="0" borderId="0" xfId="0" applyNumberFormat="1" applyFont="1" applyBorder="1"/>
    <xf numFmtId="3" fontId="7" fillId="0" borderId="6" xfId="0" applyNumberFormat="1" applyFont="1" applyBorder="1" applyAlignment="1">
      <alignment horizontal="center"/>
    </xf>
    <xf numFmtId="0" fontId="7" fillId="0" borderId="6" xfId="0" applyFont="1" applyBorder="1" applyAlignment="1">
      <alignment horizontal="left" vertical="center"/>
    </xf>
    <xf numFmtId="3" fontId="7" fillId="0" borderId="6" xfId="0" applyNumberFormat="1" applyFont="1" applyBorder="1" applyAlignment="1">
      <alignment horizontal="left" vertical="center"/>
    </xf>
    <xf numFmtId="9" fontId="7" fillId="0" borderId="6" xfId="1" applyFont="1" applyBorder="1" applyAlignment="1">
      <alignment horizontal="center"/>
    </xf>
    <xf numFmtId="3" fontId="7" fillId="0" borderId="6" xfId="0" applyNumberFormat="1" applyFont="1" applyBorder="1" applyAlignment="1">
      <alignment horizontal="center" vertical="center"/>
    </xf>
    <xf numFmtId="0" fontId="6" fillId="0" borderId="2" xfId="0" applyFont="1" applyBorder="1" applyAlignment="1">
      <alignment horizontal="center" vertical="center"/>
    </xf>
    <xf numFmtId="3"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0" borderId="5" xfId="0" applyFont="1" applyBorder="1" applyAlignment="1">
      <alignment horizontal="left" vertical="center"/>
    </xf>
    <xf numFmtId="3" fontId="6" fillId="0" borderId="6" xfId="0" applyNumberFormat="1" applyFont="1" applyBorder="1" applyAlignment="1">
      <alignment horizontal="right" vertical="center"/>
    </xf>
    <xf numFmtId="3" fontId="6" fillId="0" borderId="0" xfId="0" applyNumberFormat="1" applyFont="1" applyBorder="1" applyAlignment="1">
      <alignment horizontal="right" vertical="center"/>
    </xf>
    <xf numFmtId="0" fontId="7" fillId="0" borderId="0" xfId="0" applyFont="1" applyAlignment="1">
      <alignment horizontal="left"/>
    </xf>
    <xf numFmtId="3" fontId="7" fillId="0" borderId="0" xfId="0" applyNumberFormat="1" applyFont="1" applyFill="1" applyBorder="1" applyAlignment="1">
      <alignment horizontal="right" vertical="center"/>
    </xf>
    <xf numFmtId="0" fontId="6" fillId="0" borderId="14"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5" xfId="0" applyFont="1" applyFill="1" applyBorder="1" applyAlignment="1">
      <alignment horizontal="left" vertical="center"/>
    </xf>
    <xf numFmtId="3" fontId="7" fillId="0" borderId="6" xfId="0" applyNumberFormat="1" applyFont="1" applyFill="1" applyBorder="1" applyAlignment="1">
      <alignment horizontal="right" vertical="center"/>
    </xf>
    <xf numFmtId="3" fontId="0" fillId="0" borderId="6" xfId="0" applyNumberFormat="1" applyFont="1" applyFill="1" applyBorder="1"/>
    <xf numFmtId="3" fontId="9" fillId="0" borderId="6" xfId="0" applyNumberFormat="1" applyFont="1" applyFill="1" applyBorder="1"/>
    <xf numFmtId="3" fontId="0" fillId="0" borderId="19" xfId="0" applyNumberFormat="1" applyFont="1" applyFill="1" applyBorder="1"/>
    <xf numFmtId="3" fontId="7" fillId="0" borderId="20"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7" fillId="0" borderId="14" xfId="0" applyFont="1" applyFill="1" applyBorder="1" applyAlignment="1">
      <alignment horizontal="left" vertical="center"/>
    </xf>
    <xf numFmtId="3" fontId="7" fillId="0" borderId="21" xfId="0" applyNumberFormat="1" applyFont="1" applyFill="1" applyBorder="1" applyAlignment="1">
      <alignment horizontal="right" vertical="center"/>
    </xf>
    <xf numFmtId="0" fontId="8" fillId="0" borderId="0" xfId="0" applyFont="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Border="1" applyAlignment="1">
      <alignment horizontal="center"/>
    </xf>
    <xf numFmtId="0" fontId="7" fillId="0" borderId="0" xfId="0" applyFont="1" applyAlignment="1">
      <alignment horizontal="center"/>
    </xf>
    <xf numFmtId="0" fontId="6" fillId="0" borderId="0" xfId="0" applyFont="1"/>
    <xf numFmtId="0" fontId="10" fillId="0" borderId="2" xfId="0" applyFont="1" applyBorder="1" applyAlignment="1">
      <alignment horizontal="left" vertical="center"/>
    </xf>
    <xf numFmtId="3" fontId="10" fillId="0" borderId="4" xfId="0" applyNumberFormat="1" applyFont="1" applyBorder="1" applyAlignment="1">
      <alignment horizontal="right" vertical="center"/>
    </xf>
    <xf numFmtId="0" fontId="10" fillId="0" borderId="5" xfId="0" applyFont="1" applyBorder="1" applyAlignment="1">
      <alignment horizontal="left" vertical="center"/>
    </xf>
    <xf numFmtId="3" fontId="10" fillId="0" borderId="7" xfId="0" applyNumberFormat="1" applyFont="1" applyBorder="1" applyAlignment="1">
      <alignment horizontal="right" vertical="center"/>
    </xf>
    <xf numFmtId="9" fontId="10" fillId="0" borderId="7" xfId="1" applyFont="1" applyBorder="1" applyAlignment="1">
      <alignment horizontal="right" vertical="center"/>
    </xf>
    <xf numFmtId="0" fontId="10" fillId="0" borderId="7" xfId="0" applyFont="1" applyBorder="1" applyAlignment="1">
      <alignment horizontal="right" vertical="center"/>
    </xf>
    <xf numFmtId="0" fontId="7" fillId="0" borderId="14" xfId="0" applyFont="1" applyBorder="1"/>
    <xf numFmtId="3" fontId="7" fillId="0" borderId="15" xfId="0" applyNumberFormat="1" applyFont="1" applyBorder="1"/>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left" vertical="center"/>
    </xf>
    <xf numFmtId="9" fontId="7" fillId="0" borderId="0" xfId="1" applyFont="1"/>
    <xf numFmtId="0" fontId="10" fillId="2" borderId="5" xfId="0" applyFont="1" applyFill="1" applyBorder="1" applyAlignment="1">
      <alignment horizontal="center" vertical="center"/>
    </xf>
    <xf numFmtId="3" fontId="10" fillId="2" borderId="6" xfId="0" applyNumberFormat="1" applyFont="1" applyFill="1" applyBorder="1" applyAlignment="1">
      <alignment horizontal="right" vertical="center"/>
    </xf>
    <xf numFmtId="3" fontId="10" fillId="0" borderId="6" xfId="0" applyNumberFormat="1" applyFont="1" applyBorder="1"/>
    <xf numFmtId="3" fontId="10" fillId="2" borderId="6" xfId="1" applyNumberFormat="1" applyFont="1" applyFill="1" applyBorder="1" applyAlignment="1">
      <alignment horizontal="right" vertical="center"/>
    </xf>
    <xf numFmtId="3" fontId="10" fillId="0" borderId="7" xfId="0" applyNumberFormat="1" applyFont="1" applyBorder="1"/>
    <xf numFmtId="4" fontId="7" fillId="0" borderId="0" xfId="0" applyNumberFormat="1" applyFont="1"/>
    <xf numFmtId="165" fontId="7" fillId="0" borderId="0" xfId="0" applyNumberFormat="1" applyFont="1"/>
    <xf numFmtId="166" fontId="7" fillId="0" borderId="0" xfId="0" applyNumberFormat="1" applyFont="1"/>
    <xf numFmtId="0" fontId="10" fillId="2" borderId="22" xfId="0" applyFont="1" applyFill="1" applyBorder="1" applyAlignment="1">
      <alignment horizontal="center" vertical="center"/>
    </xf>
    <xf numFmtId="0" fontId="13" fillId="0" borderId="0" xfId="0" applyFont="1"/>
    <xf numFmtId="0" fontId="7" fillId="0" borderId="8" xfId="0" applyFont="1" applyFill="1" applyBorder="1" applyAlignment="1">
      <alignment horizontal="left" vertical="center"/>
    </xf>
    <xf numFmtId="3" fontId="7" fillId="0" borderId="23" xfId="0" applyNumberFormat="1" applyFont="1" applyFill="1" applyBorder="1" applyAlignment="1">
      <alignment horizontal="right" vertical="center"/>
    </xf>
    <xf numFmtId="3" fontId="0" fillId="0" borderId="0" xfId="0" applyNumberFormat="1"/>
    <xf numFmtId="164" fontId="0" fillId="0" borderId="0" xfId="0" applyNumberFormat="1"/>
    <xf numFmtId="3" fontId="11" fillId="0" borderId="0" xfId="0" applyNumberFormat="1" applyFont="1" applyBorder="1"/>
    <xf numFmtId="3" fontId="7" fillId="0" borderId="6"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7"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7" fillId="0" borderId="18" xfId="0" applyNumberFormat="1" applyFont="1" applyBorder="1" applyAlignment="1">
      <alignment horizontal="center"/>
    </xf>
    <xf numFmtId="3" fontId="7" fillId="0" borderId="15"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2" xfId="0" applyNumberFormat="1" applyFont="1" applyBorder="1" applyAlignment="1">
      <alignment horizontal="center"/>
    </xf>
    <xf numFmtId="3" fontId="7" fillId="0" borderId="13" xfId="0" applyNumberFormat="1" applyFont="1" applyBorder="1" applyAlignment="1">
      <alignment horizontal="center"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0" fontId="12" fillId="2" borderId="3" xfId="0" applyFont="1" applyFill="1" applyBorder="1" applyAlignment="1">
      <alignment horizontal="center" vertical="center"/>
    </xf>
    <xf numFmtId="0" fontId="6" fillId="0" borderId="2" xfId="0" applyFont="1" applyBorder="1"/>
    <xf numFmtId="3" fontId="6" fillId="0" borderId="4" xfId="0" applyNumberFormat="1" applyFont="1" applyBorder="1" applyAlignment="1">
      <alignment horizontal="center"/>
    </xf>
    <xf numFmtId="3" fontId="7" fillId="0" borderId="7" xfId="0" applyNumberFormat="1" applyFont="1" applyFill="1" applyBorder="1" applyAlignment="1">
      <alignment horizontal="center" vertical="center" wrapText="1"/>
    </xf>
    <xf numFmtId="3" fontId="7" fillId="0" borderId="10" xfId="0" applyNumberFormat="1" applyFont="1" applyBorder="1" applyAlignment="1">
      <alignment horizontal="center" vertical="center"/>
    </xf>
    <xf numFmtId="9" fontId="7" fillId="0" borderId="7" xfId="1" applyFont="1" applyBorder="1" applyAlignment="1">
      <alignment horizontal="center" vertical="center"/>
    </xf>
    <xf numFmtId="9" fontId="7" fillId="0" borderId="15" xfId="1" applyFont="1" applyBorder="1" applyAlignment="1">
      <alignment horizontal="center" vertical="center"/>
    </xf>
    <xf numFmtId="3" fontId="6" fillId="0" borderId="6" xfId="0" applyNumberFormat="1" applyFont="1" applyBorder="1" applyAlignment="1">
      <alignment horizont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7" fillId="0" borderId="24" xfId="0" applyFont="1" applyBorder="1"/>
    <xf numFmtId="10" fontId="10" fillId="0" borderId="24" xfId="1" applyNumberFormat="1" applyFont="1" applyBorder="1" applyAlignment="1">
      <alignment horizontal="right" vertical="center"/>
    </xf>
    <xf numFmtId="10" fontId="10" fillId="0" borderId="24" xfId="0" applyNumberFormat="1" applyFont="1" applyBorder="1" applyAlignment="1">
      <alignment horizontal="right" vertical="center"/>
    </xf>
    <xf numFmtId="3" fontId="7" fillId="0" borderId="24" xfId="0" applyNumberFormat="1" applyFont="1" applyBorder="1"/>
    <xf numFmtId="4" fontId="7" fillId="0" borderId="24" xfId="0" applyNumberFormat="1" applyFont="1" applyBorder="1"/>
    <xf numFmtId="4" fontId="7" fillId="0" borderId="25" xfId="0" applyNumberFormat="1" applyFont="1" applyBorder="1"/>
    <xf numFmtId="3" fontId="0" fillId="0" borderId="4" xfId="0" applyNumberFormat="1" applyBorder="1"/>
    <xf numFmtId="0" fontId="0" fillId="0" borderId="5" xfId="0" applyBorder="1"/>
    <xf numFmtId="3" fontId="0" fillId="0" borderId="7" xfId="0" applyNumberFormat="1" applyBorder="1"/>
    <xf numFmtId="10" fontId="0" fillId="0" borderId="7" xfId="1" applyNumberFormat="1" applyFont="1" applyBorder="1"/>
    <xf numFmtId="9" fontId="0" fillId="0" borderId="7" xfId="1" applyFont="1" applyBorder="1"/>
    <xf numFmtId="10" fontId="0" fillId="0" borderId="7" xfId="0" applyNumberFormat="1" applyBorder="1"/>
    <xf numFmtId="3" fontId="2" fillId="0" borderId="0" xfId="0" applyNumberFormat="1" applyFont="1"/>
    <xf numFmtId="3" fontId="9" fillId="0" borderId="2" xfId="0" applyNumberFormat="1" applyFont="1" applyBorder="1"/>
    <xf numFmtId="0" fontId="9" fillId="0" borderId="5" xfId="0" applyFont="1" applyBorder="1"/>
    <xf numFmtId="38" fontId="10" fillId="0" borderId="26" xfId="0" applyNumberFormat="1" applyFont="1" applyBorder="1" applyAlignment="1">
      <alignment horizontal="right" vertical="center"/>
    </xf>
    <xf numFmtId="0" fontId="2" fillId="0" borderId="0" xfId="0" applyFont="1" applyAlignment="1">
      <alignment horizontal="center"/>
    </xf>
    <xf numFmtId="0" fontId="2" fillId="0" borderId="0" xfId="0" applyFont="1"/>
    <xf numFmtId="0" fontId="12" fillId="0" borderId="0" xfId="0" applyFont="1" applyFill="1" applyBorder="1" applyAlignment="1">
      <alignment horizontal="left" vertical="center"/>
    </xf>
    <xf numFmtId="0" fontId="0" fillId="0" borderId="6" xfId="0" applyBorder="1"/>
    <xf numFmtId="9" fontId="2" fillId="0" borderId="6" xfId="0" applyNumberFormat="1" applyFont="1" applyBorder="1" applyAlignment="1">
      <alignment horizontal="center"/>
    </xf>
    <xf numFmtId="0" fontId="0" fillId="0" borderId="6" xfId="0" applyBorder="1" applyAlignment="1">
      <alignment horizontal="center"/>
    </xf>
    <xf numFmtId="9" fontId="0" fillId="0" borderId="6" xfId="0" applyNumberFormat="1" applyBorder="1" applyAlignment="1">
      <alignment horizontal="center"/>
    </xf>
    <xf numFmtId="38"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xf numFmtId="9" fontId="2" fillId="0" borderId="6" xfId="0" applyNumberFormat="1" applyFont="1" applyFill="1" applyBorder="1" applyAlignment="1">
      <alignment horizontal="center"/>
    </xf>
    <xf numFmtId="10" fontId="0" fillId="0" borderId="6" xfId="1" applyNumberFormat="1" applyFont="1" applyBorder="1" applyAlignment="1">
      <alignment horizontal="center"/>
    </xf>
    <xf numFmtId="0" fontId="2" fillId="0" borderId="0" xfId="0" applyFont="1" applyAlignment="1">
      <alignment horizontal="right"/>
    </xf>
    <xf numFmtId="0" fontId="7" fillId="0" borderId="0" xfId="0" applyFont="1" applyBorder="1"/>
    <xf numFmtId="0" fontId="6" fillId="0" borderId="14" xfId="0" applyFont="1" applyFill="1" applyBorder="1" applyAlignment="1">
      <alignment horizontal="left" vertical="center"/>
    </xf>
    <xf numFmtId="3" fontId="7" fillId="0" borderId="9" xfId="0" applyNumberFormat="1" applyFont="1" applyFill="1" applyBorder="1" applyAlignment="1">
      <alignment horizontal="right" vertical="center"/>
    </xf>
    <xf numFmtId="0" fontId="7" fillId="0" borderId="22" xfId="0" applyFont="1" applyFill="1" applyBorder="1" applyAlignment="1">
      <alignment horizontal="left" vertical="center"/>
    </xf>
    <xf numFmtId="3" fontId="7" fillId="0" borderId="27" xfId="0" applyNumberFormat="1" applyFont="1" applyFill="1" applyBorder="1" applyAlignment="1">
      <alignment horizontal="right" vertical="center"/>
    </xf>
    <xf numFmtId="3" fontId="0" fillId="0" borderId="9" xfId="0" applyNumberFormat="1" applyFont="1" applyFill="1" applyBorder="1"/>
    <xf numFmtId="3" fontId="9" fillId="0" borderId="9" xfId="0" applyNumberFormat="1" applyFont="1" applyFill="1" applyBorder="1"/>
    <xf numFmtId="0" fontId="6" fillId="0" borderId="8" xfId="0" applyFont="1" applyBorder="1" applyAlignment="1">
      <alignment horizontal="left" vertical="center"/>
    </xf>
    <xf numFmtId="3" fontId="6" fillId="0" borderId="9"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xf numFmtId="0" fontId="0" fillId="0" borderId="0" xfId="0" applyBorder="1"/>
    <xf numFmtId="0" fontId="10" fillId="0" borderId="31" xfId="0" applyFont="1" applyBorder="1" applyAlignment="1">
      <alignment horizontal="left" vertical="center"/>
    </xf>
    <xf numFmtId="0" fontId="12" fillId="0" borderId="0" xfId="0" applyFont="1"/>
    <xf numFmtId="0" fontId="12" fillId="0" borderId="0" xfId="0" applyFont="1" applyAlignment="1">
      <alignment vertical="center"/>
    </xf>
    <xf numFmtId="3" fontId="7" fillId="2" borderId="0" xfId="0" applyNumberFormat="1" applyFont="1" applyFill="1" applyBorder="1"/>
    <xf numFmtId="3" fontId="7" fillId="0" borderId="7" xfId="0" applyNumberFormat="1" applyFont="1" applyFill="1" applyBorder="1"/>
    <xf numFmtId="9" fontId="10" fillId="0" borderId="32" xfId="1" applyFont="1" applyBorder="1" applyAlignment="1">
      <alignment horizontal="right" vertical="center"/>
    </xf>
    <xf numFmtId="0" fontId="6" fillId="0" borderId="50" xfId="0" applyFont="1" applyBorder="1" applyAlignment="1">
      <alignment horizontal="left" vertical="center"/>
    </xf>
    <xf numFmtId="0" fontId="7" fillId="0" borderId="9" xfId="0" applyFont="1" applyBorder="1" applyAlignment="1">
      <alignment horizontal="left" vertical="center"/>
    </xf>
    <xf numFmtId="3" fontId="7" fillId="0" borderId="9" xfId="0" applyNumberFormat="1" applyFont="1" applyBorder="1" applyAlignment="1">
      <alignment horizontal="left" vertical="center" wrapText="1"/>
    </xf>
    <xf numFmtId="9" fontId="7" fillId="0" borderId="9" xfId="1" applyFont="1" applyBorder="1" applyAlignment="1">
      <alignment horizontal="center"/>
    </xf>
    <xf numFmtId="3" fontId="7" fillId="0" borderId="9" xfId="0" applyNumberFormat="1" applyFont="1" applyBorder="1"/>
    <xf numFmtId="0" fontId="7" fillId="0" borderId="50" xfId="0" applyFont="1" applyBorder="1" applyAlignment="1">
      <alignment horizontal="left" vertical="center"/>
    </xf>
    <xf numFmtId="3" fontId="7" fillId="0" borderId="52" xfId="0" applyNumberFormat="1" applyFont="1" applyBorder="1" applyAlignment="1">
      <alignment horizontal="center" vertical="center"/>
    </xf>
    <xf numFmtId="3" fontId="7" fillId="0" borderId="52" xfId="0" applyNumberFormat="1" applyFont="1" applyBorder="1"/>
    <xf numFmtId="3" fontId="6" fillId="3" borderId="12" xfId="0" applyNumberFormat="1" applyFont="1" applyFill="1" applyBorder="1" applyAlignment="1">
      <alignment horizontal="center" vertical="center"/>
    </xf>
    <xf numFmtId="3" fontId="7" fillId="3" borderId="12" xfId="0" applyNumberFormat="1" applyFont="1" applyFill="1" applyBorder="1" applyAlignment="1">
      <alignment horizontal="center" vertical="center" wrapText="1"/>
    </xf>
    <xf numFmtId="3" fontId="7" fillId="3" borderId="6" xfId="0" applyNumberFormat="1" applyFont="1" applyFill="1" applyBorder="1" applyAlignment="1">
      <alignment horizontal="right" vertical="center"/>
    </xf>
    <xf numFmtId="3" fontId="7" fillId="4" borderId="51" xfId="0" applyNumberFormat="1" applyFont="1" applyFill="1" applyBorder="1"/>
    <xf numFmtId="3" fontId="7" fillId="4" borderId="6" xfId="0" applyNumberFormat="1" applyFont="1" applyFill="1" applyBorder="1" applyAlignment="1">
      <alignment horizontal="right" vertical="center"/>
    </xf>
    <xf numFmtId="3" fontId="6" fillId="5" borderId="6" xfId="0" applyNumberFormat="1" applyFont="1" applyFill="1" applyBorder="1" applyAlignment="1">
      <alignment horizontal="right" vertical="center"/>
    </xf>
    <xf numFmtId="3" fontId="7" fillId="5" borderId="6" xfId="0" applyNumberFormat="1" applyFont="1" applyFill="1" applyBorder="1" applyAlignment="1">
      <alignment horizontal="right" vertical="center"/>
    </xf>
    <xf numFmtId="3" fontId="7" fillId="5" borderId="7" xfId="0" applyNumberFormat="1" applyFont="1" applyFill="1" applyBorder="1" applyAlignment="1">
      <alignment horizontal="right" vertical="center"/>
    </xf>
    <xf numFmtId="3" fontId="6" fillId="6" borderId="6" xfId="0" applyNumberFormat="1" applyFont="1" applyFill="1" applyBorder="1" applyAlignment="1">
      <alignment horizontal="right" vertical="center"/>
    </xf>
    <xf numFmtId="3" fontId="6" fillId="7" borderId="6" xfId="0" applyNumberFormat="1" applyFont="1" applyFill="1" applyBorder="1" applyAlignment="1">
      <alignment horizontal="right" vertical="center"/>
    </xf>
    <xf numFmtId="3" fontId="6" fillId="7" borderId="7" xfId="0" applyNumberFormat="1" applyFont="1" applyFill="1" applyBorder="1" applyAlignment="1">
      <alignment horizontal="right" vertical="center"/>
    </xf>
    <xf numFmtId="3" fontId="7" fillId="7" borderId="6" xfId="0" applyNumberFormat="1" applyFont="1" applyFill="1" applyBorder="1" applyAlignment="1">
      <alignment horizontal="right" vertical="center"/>
    </xf>
    <xf numFmtId="3" fontId="6" fillId="8" borderId="52" xfId="0" applyNumberFormat="1" applyFont="1" applyFill="1" applyBorder="1" applyAlignment="1">
      <alignment horizontal="right" vertical="center"/>
    </xf>
    <xf numFmtId="3" fontId="6" fillId="8" borderId="51" xfId="0" applyNumberFormat="1" applyFont="1" applyFill="1" applyBorder="1" applyAlignment="1">
      <alignment horizontal="right" vertical="center"/>
    </xf>
    <xf numFmtId="3" fontId="7" fillId="8" borderId="6" xfId="0" applyNumberFormat="1" applyFont="1" applyFill="1" applyBorder="1" applyAlignment="1">
      <alignment horizontal="right" vertical="center"/>
    </xf>
    <xf numFmtId="3" fontId="7" fillId="9" borderId="10" xfId="0" applyNumberFormat="1" applyFont="1" applyFill="1" applyBorder="1" applyAlignment="1">
      <alignment horizontal="right" vertical="center"/>
    </xf>
    <xf numFmtId="3" fontId="7" fillId="6" borderId="6" xfId="0" applyNumberFormat="1" applyFont="1" applyFill="1" applyBorder="1" applyAlignment="1">
      <alignment horizontal="right" vertical="center"/>
    </xf>
    <xf numFmtId="3" fontId="7" fillId="11" borderId="6" xfId="0" applyNumberFormat="1" applyFont="1" applyFill="1" applyBorder="1" applyAlignment="1">
      <alignment horizontal="right" vertical="center"/>
    </xf>
    <xf numFmtId="3" fontId="7" fillId="10" borderId="6" xfId="0" applyNumberFormat="1" applyFont="1" applyFill="1" applyBorder="1" applyAlignment="1">
      <alignment horizontal="right" vertical="center"/>
    </xf>
    <xf numFmtId="3" fontId="10" fillId="2" borderId="6" xfId="0" applyNumberFormat="1" applyFont="1" applyFill="1" applyBorder="1" applyAlignment="1">
      <alignment horizontal="center" vertical="center"/>
    </xf>
    <xf numFmtId="3" fontId="10" fillId="0" borderId="6" xfId="0" applyNumberFormat="1" applyFont="1" applyBorder="1" applyAlignment="1">
      <alignment horizontal="center"/>
    </xf>
    <xf numFmtId="3" fontId="10" fillId="10" borderId="6" xfId="1" applyNumberFormat="1" applyFont="1" applyFill="1" applyBorder="1" applyAlignment="1">
      <alignment horizontal="center" vertical="center"/>
    </xf>
    <xf numFmtId="3" fontId="10" fillId="11" borderId="7" xfId="0" applyNumberFormat="1" applyFont="1" applyFill="1" applyBorder="1" applyAlignment="1">
      <alignment horizontal="center"/>
    </xf>
    <xf numFmtId="3" fontId="6" fillId="12" borderId="52" xfId="0" applyNumberFormat="1" applyFont="1" applyFill="1" applyBorder="1" applyAlignment="1">
      <alignment horizontal="right" vertical="center"/>
    </xf>
    <xf numFmtId="0" fontId="20" fillId="0" borderId="0" xfId="0" applyFont="1" applyAlignment="1">
      <alignment horizontal="left" wrapText="1"/>
    </xf>
    <xf numFmtId="3" fontId="3" fillId="0" borderId="0" xfId="0" applyNumberFormat="1" applyFont="1" applyBorder="1"/>
    <xf numFmtId="0" fontId="7" fillId="0" borderId="5" xfId="0" applyFont="1" applyBorder="1" applyAlignment="1">
      <alignment horizontal="left" vertical="center" wrapText="1" indent="1"/>
    </xf>
    <xf numFmtId="0" fontId="7" fillId="0" borderId="8" xfId="0" applyFont="1" applyBorder="1" applyAlignment="1">
      <alignment horizontal="left" vertical="center" wrapText="1" indent="1"/>
    </xf>
    <xf numFmtId="3" fontId="7" fillId="0" borderId="18" xfId="0" applyNumberFormat="1" applyFont="1" applyBorder="1"/>
    <xf numFmtId="3" fontId="7" fillId="0" borderId="7" xfId="0" applyNumberFormat="1" applyFont="1" applyFill="1" applyBorder="1" applyAlignment="1">
      <alignment horizontal="center"/>
    </xf>
    <xf numFmtId="0" fontId="7" fillId="0" borderId="0" xfId="0" applyFont="1" applyFill="1"/>
    <xf numFmtId="0" fontId="7" fillId="0" borderId="0" xfId="0" applyFont="1" applyFill="1" applyBorder="1" applyAlignment="1">
      <alignment horizontal="center" vertical="center"/>
    </xf>
    <xf numFmtId="3" fontId="0" fillId="0" borderId="0" xfId="0" applyNumberFormat="1" applyFont="1" applyFill="1" applyBorder="1"/>
    <xf numFmtId="3" fontId="7" fillId="7" borderId="7" xfId="0" applyNumberFormat="1" applyFont="1" applyFill="1" applyBorder="1" applyAlignment="1">
      <alignment horizontal="right" vertical="center"/>
    </xf>
    <xf numFmtId="3" fontId="7" fillId="8" borderId="7" xfId="0" applyNumberFormat="1" applyFont="1" applyFill="1" applyBorder="1" applyAlignment="1">
      <alignment horizontal="right" vertical="center"/>
    </xf>
    <xf numFmtId="0" fontId="6" fillId="0" borderId="59" xfId="0" applyFont="1" applyFill="1" applyBorder="1" applyAlignment="1">
      <alignment horizontal="left" vertical="center"/>
    </xf>
    <xf numFmtId="3" fontId="6" fillId="12" borderId="60" xfId="0" applyNumberFormat="1" applyFont="1" applyFill="1" applyBorder="1" applyAlignment="1">
      <alignment horizontal="right" vertical="center"/>
    </xf>
    <xf numFmtId="3" fontId="6" fillId="12" borderId="61" xfId="0" applyNumberFormat="1" applyFont="1" applyFill="1" applyBorder="1" applyAlignment="1">
      <alignment horizontal="right" vertical="center"/>
    </xf>
    <xf numFmtId="3" fontId="6" fillId="9" borderId="6" xfId="0" applyNumberFormat="1" applyFont="1" applyFill="1" applyBorder="1" applyAlignment="1">
      <alignment horizontal="right" vertical="center"/>
    </xf>
    <xf numFmtId="0" fontId="10" fillId="2" borderId="0" xfId="0" applyFont="1" applyFill="1" applyBorder="1" applyAlignment="1">
      <alignment horizontal="center" vertical="center"/>
    </xf>
    <xf numFmtId="0" fontId="10" fillId="2" borderId="14" xfId="0" applyFont="1" applyFill="1" applyBorder="1" applyAlignment="1">
      <alignment horizontal="center" vertical="center"/>
    </xf>
    <xf numFmtId="3" fontId="10" fillId="0" borderId="18" xfId="0" applyNumberFormat="1" applyFont="1" applyBorder="1" applyAlignment="1">
      <alignment horizontal="center"/>
    </xf>
    <xf numFmtId="3" fontId="10" fillId="10" borderId="18" xfId="1" applyNumberFormat="1" applyFont="1" applyFill="1" applyBorder="1" applyAlignment="1">
      <alignment horizontal="center" vertical="center"/>
    </xf>
    <xf numFmtId="3" fontId="10" fillId="11" borderId="15" xfId="0" applyNumberFormat="1" applyFont="1" applyFill="1" applyBorder="1" applyAlignment="1">
      <alignment horizontal="center"/>
    </xf>
    <xf numFmtId="3" fontId="6" fillId="0" borderId="0"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3" fontId="7" fillId="6" borderId="7" xfId="0" applyNumberFormat="1" applyFont="1" applyFill="1" applyBorder="1" applyAlignment="1">
      <alignment horizontal="right" vertical="center"/>
    </xf>
    <xf numFmtId="0" fontId="6" fillId="0" borderId="62" xfId="0" applyFont="1" applyFill="1" applyBorder="1" applyAlignment="1">
      <alignment horizontal="left" vertical="center"/>
    </xf>
    <xf numFmtId="3" fontId="6" fillId="12" borderId="63" xfId="0" applyNumberFormat="1" applyFont="1" applyFill="1" applyBorder="1" applyAlignment="1">
      <alignment horizontal="right" vertical="center"/>
    </xf>
    <xf numFmtId="3" fontId="7" fillId="0" borderId="32" xfId="0" applyNumberFormat="1" applyFont="1" applyFill="1" applyBorder="1" applyAlignment="1">
      <alignment horizontal="right" vertical="center"/>
    </xf>
    <xf numFmtId="3" fontId="7" fillId="11" borderId="7" xfId="0" applyNumberFormat="1" applyFont="1" applyFill="1" applyBorder="1" applyAlignment="1">
      <alignment horizontal="right" vertical="center"/>
    </xf>
    <xf numFmtId="3" fontId="7" fillId="10" borderId="7" xfId="0" applyNumberFormat="1" applyFont="1" applyFill="1" applyBorder="1" applyAlignment="1">
      <alignment horizontal="right" vertical="center"/>
    </xf>
    <xf numFmtId="3" fontId="7" fillId="0" borderId="18" xfId="0" applyNumberFormat="1" applyFont="1" applyFill="1" applyBorder="1" applyAlignment="1">
      <alignment horizontal="right" vertical="center"/>
    </xf>
    <xf numFmtId="3" fontId="7" fillId="0" borderId="15" xfId="0" applyNumberFormat="1" applyFont="1" applyFill="1" applyBorder="1" applyAlignment="1">
      <alignment horizontal="right" vertical="center"/>
    </xf>
    <xf numFmtId="0" fontId="23" fillId="0" borderId="0" xfId="0" applyFont="1"/>
    <xf numFmtId="0" fontId="21" fillId="0" borderId="0" xfId="0" applyFont="1" applyAlignment="1">
      <alignment horizontal="left" wrapText="1"/>
    </xf>
    <xf numFmtId="0" fontId="22" fillId="0" borderId="0" xfId="0" applyFont="1" applyAlignment="1"/>
    <xf numFmtId="0" fontId="5" fillId="0" borderId="0" xfId="0" applyFont="1" applyBorder="1" applyAlignment="1">
      <alignment horizontal="center" vertical="center" wrapText="1"/>
    </xf>
    <xf numFmtId="0" fontId="6" fillId="0" borderId="6" xfId="0" applyFont="1" applyBorder="1" applyAlignment="1">
      <alignment horizontal="left" vertical="center"/>
    </xf>
    <xf numFmtId="0" fontId="12" fillId="0" borderId="30" xfId="0" applyFont="1" applyBorder="1" applyAlignment="1">
      <alignment horizontal="left"/>
    </xf>
    <xf numFmtId="0" fontId="5" fillId="0" borderId="1" xfId="0" applyFont="1" applyBorder="1" applyAlignment="1">
      <alignment horizontal="center" vertical="center" wrapText="1"/>
    </xf>
    <xf numFmtId="0" fontId="19" fillId="0" borderId="42" xfId="0" applyFont="1" applyBorder="1" applyAlignment="1">
      <alignment horizontal="left" vertical="top" wrapText="1"/>
    </xf>
    <xf numFmtId="0" fontId="19" fillId="0" borderId="43" xfId="0" applyFont="1" applyBorder="1" applyAlignment="1">
      <alignment horizontal="left" vertical="top" wrapText="1"/>
    </xf>
    <xf numFmtId="0" fontId="19" fillId="0" borderId="44" xfId="0" applyFont="1" applyBorder="1" applyAlignment="1">
      <alignment horizontal="left" vertical="top" wrapText="1"/>
    </xf>
    <xf numFmtId="0" fontId="19" fillId="0" borderId="45" xfId="0" applyFont="1" applyBorder="1" applyAlignment="1">
      <alignment horizontal="left" vertical="top" wrapText="1"/>
    </xf>
    <xf numFmtId="0" fontId="19" fillId="0" borderId="0"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49" xfId="0" applyFont="1" applyBorder="1" applyAlignment="1">
      <alignment horizontal="left" vertical="top" wrapText="1"/>
    </xf>
    <xf numFmtId="3" fontId="7" fillId="0" borderId="42" xfId="0" applyNumberFormat="1" applyFont="1" applyBorder="1" applyAlignment="1">
      <alignment horizontal="left" vertical="top" wrapText="1"/>
    </xf>
    <xf numFmtId="3" fontId="7" fillId="0" borderId="43" xfId="0" applyNumberFormat="1" applyFont="1" applyBorder="1" applyAlignment="1">
      <alignment horizontal="left" vertical="top" wrapText="1"/>
    </xf>
    <xf numFmtId="3" fontId="7" fillId="0" borderId="44"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3" fontId="7" fillId="0" borderId="0" xfId="0" applyNumberFormat="1" applyFont="1" applyBorder="1" applyAlignment="1">
      <alignment horizontal="left" vertical="top" wrapText="1"/>
    </xf>
    <xf numFmtId="3" fontId="7" fillId="0" borderId="46" xfId="0" applyNumberFormat="1" applyFont="1" applyBorder="1" applyAlignment="1">
      <alignment horizontal="left" vertical="top" wrapText="1"/>
    </xf>
    <xf numFmtId="3" fontId="7" fillId="0" borderId="47" xfId="0" applyNumberFormat="1" applyFont="1" applyBorder="1" applyAlignment="1">
      <alignment horizontal="left" vertical="top" wrapText="1"/>
    </xf>
    <xf numFmtId="3" fontId="7" fillId="0" borderId="48" xfId="0" applyNumberFormat="1" applyFont="1" applyBorder="1" applyAlignment="1">
      <alignment horizontal="left" vertical="top" wrapText="1"/>
    </xf>
    <xf numFmtId="3" fontId="7" fillId="0" borderId="49" xfId="0" applyNumberFormat="1" applyFont="1" applyBorder="1" applyAlignment="1">
      <alignment horizontal="left" vertical="top" wrapText="1"/>
    </xf>
    <xf numFmtId="3" fontId="6" fillId="0" borderId="16"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7" fillId="0" borderId="34" xfId="0" applyNumberFormat="1" applyFont="1" applyFill="1" applyBorder="1" applyAlignment="1">
      <alignment horizontal="left" vertical="top" wrapText="1"/>
    </xf>
    <xf numFmtId="3" fontId="7" fillId="0" borderId="35" xfId="0" applyNumberFormat="1" applyFont="1" applyFill="1" applyBorder="1" applyAlignment="1">
      <alignment horizontal="left" vertical="top" wrapText="1"/>
    </xf>
    <xf numFmtId="3" fontId="7" fillId="0" borderId="36" xfId="0" applyNumberFormat="1" applyFont="1" applyFill="1" applyBorder="1" applyAlignment="1">
      <alignment horizontal="left" vertical="top" wrapText="1"/>
    </xf>
    <xf numFmtId="3" fontId="7" fillId="0" borderId="37" xfId="0" applyNumberFormat="1" applyFont="1" applyFill="1" applyBorder="1" applyAlignment="1">
      <alignment horizontal="left" vertical="top" wrapText="1"/>
    </xf>
    <xf numFmtId="3" fontId="7" fillId="0" borderId="33" xfId="0" applyNumberFormat="1" applyFont="1" applyFill="1" applyBorder="1" applyAlignment="1">
      <alignment horizontal="left" vertical="top" wrapText="1"/>
    </xf>
    <xf numFmtId="3" fontId="7" fillId="0" borderId="38" xfId="0" applyNumberFormat="1" applyFont="1" applyFill="1" applyBorder="1" applyAlignment="1">
      <alignment horizontal="left" vertical="top" wrapText="1"/>
    </xf>
    <xf numFmtId="3" fontId="7" fillId="0" borderId="39" xfId="0" applyNumberFormat="1" applyFont="1" applyFill="1" applyBorder="1" applyAlignment="1">
      <alignment horizontal="left" vertical="top" wrapText="1"/>
    </xf>
    <xf numFmtId="3" fontId="7" fillId="0" borderId="40" xfId="0" applyNumberFormat="1" applyFont="1" applyFill="1" applyBorder="1" applyAlignment="1">
      <alignment horizontal="left" vertical="top" wrapText="1"/>
    </xf>
    <xf numFmtId="3" fontId="7" fillId="0" borderId="41" xfId="0" applyNumberFormat="1" applyFont="1" applyFill="1" applyBorder="1" applyAlignment="1">
      <alignment horizontal="left" vertical="top" wrapText="1"/>
    </xf>
    <xf numFmtId="3" fontId="7" fillId="0" borderId="53" xfId="0" applyNumberFormat="1" applyFont="1" applyBorder="1" applyAlignment="1">
      <alignment horizontal="left" vertical="top" wrapText="1"/>
    </xf>
    <xf numFmtId="3" fontId="7" fillId="0" borderId="54" xfId="0" applyNumberFormat="1" applyFont="1" applyBorder="1" applyAlignment="1">
      <alignment horizontal="left" vertical="top" wrapText="1"/>
    </xf>
    <xf numFmtId="0" fontId="0" fillId="0" borderId="55" xfId="0" applyBorder="1" applyAlignment="1"/>
    <xf numFmtId="3" fontId="7" fillId="0" borderId="56" xfId="0" applyNumberFormat="1" applyFont="1" applyBorder="1" applyAlignment="1">
      <alignment horizontal="left" vertical="top" wrapText="1"/>
    </xf>
    <xf numFmtId="0" fontId="0" fillId="0" borderId="1" xfId="0" applyBorder="1" applyAlignment="1"/>
    <xf numFmtId="3" fontId="7" fillId="0" borderId="57" xfId="0" applyNumberFormat="1" applyFont="1" applyBorder="1" applyAlignment="1">
      <alignment horizontal="left" vertical="top" wrapText="1"/>
    </xf>
    <xf numFmtId="3" fontId="7" fillId="0" borderId="30" xfId="0" applyNumberFormat="1" applyFont="1" applyBorder="1" applyAlignment="1">
      <alignment horizontal="left" vertical="top" wrapText="1"/>
    </xf>
    <xf numFmtId="0" fontId="0" fillId="0" borderId="58" xfId="0" applyBorder="1" applyAlignment="1"/>
    <xf numFmtId="0" fontId="8" fillId="0" borderId="0" xfId="0" applyFont="1" applyBorder="1" applyAlignment="1">
      <alignment horizontal="center" vertical="center"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0"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49" xfId="0" applyFont="1" applyBorder="1" applyAlignment="1">
      <alignment horizontal="left" vertical="top" wrapText="1"/>
    </xf>
    <xf numFmtId="0" fontId="7" fillId="0" borderId="0" xfId="0" applyFont="1" applyBorder="1" applyAlignment="1">
      <alignment horizontal="center"/>
    </xf>
    <xf numFmtId="0" fontId="7" fillId="0" borderId="0" xfId="0" applyFont="1" applyAlignment="1">
      <alignment horizontal="center"/>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1" xfId="0" applyFont="1" applyBorder="1" applyAlignment="1">
      <alignment horizontal="left" vertical="top" wrapText="1"/>
    </xf>
    <xf numFmtId="0" fontId="7" fillId="0" borderId="57" xfId="0" applyFont="1" applyBorder="1" applyAlignment="1">
      <alignment horizontal="left" vertical="top" wrapText="1"/>
    </xf>
    <xf numFmtId="0" fontId="7" fillId="0" borderId="30" xfId="0" applyFont="1" applyBorder="1" applyAlignment="1">
      <alignment horizontal="left" vertical="top" wrapText="1"/>
    </xf>
    <xf numFmtId="0" fontId="7" fillId="0" borderId="58" xfId="0" applyFont="1" applyBorder="1" applyAlignment="1">
      <alignment horizontal="left" vertical="top" wrapText="1"/>
    </xf>
    <xf numFmtId="0" fontId="0" fillId="0" borderId="0" xfId="0" applyAlignment="1">
      <alignment horizontal="left" wrapText="1"/>
    </xf>
    <xf numFmtId="0" fontId="0" fillId="0" borderId="0" xfId="0" applyAlignment="1">
      <alignment horizontal="left"/>
    </xf>
    <xf numFmtId="0" fontId="2" fillId="0" borderId="29" xfId="0" applyFont="1" applyBorder="1" applyAlignment="1">
      <alignment horizontal="center"/>
    </xf>
    <xf numFmtId="0" fontId="2" fillId="0" borderId="6" xfId="0" applyFont="1" applyBorder="1" applyAlignment="1">
      <alignment horizontal="center"/>
    </xf>
    <xf numFmtId="38" fontId="2" fillId="0" borderId="9" xfId="0" applyNumberFormat="1" applyFont="1" applyBorder="1" applyAlignment="1">
      <alignment horizontal="center" vertical="center"/>
    </xf>
    <xf numFmtId="38" fontId="2" fillId="0" borderId="28" xfId="0" applyNumberFormat="1" applyFont="1" applyBorder="1" applyAlignment="1">
      <alignment horizontal="center" vertical="center"/>
    </xf>
    <xf numFmtId="38" fontId="2" fillId="0" borderId="27" xfId="0" applyNumberFormat="1" applyFont="1" applyBorder="1" applyAlignment="1">
      <alignment horizontal="center" vertical="center"/>
    </xf>
  </cellXfs>
  <cellStyles count="2">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2:T155"/>
  <sheetViews>
    <sheetView tabSelected="1" topLeftCell="B1" zoomScaleNormal="100" workbookViewId="0">
      <selection activeCell="L8" sqref="L8"/>
    </sheetView>
  </sheetViews>
  <sheetFormatPr baseColWidth="10" defaultRowHeight="15"/>
  <cols>
    <col min="2" max="2" width="37.42578125" customWidth="1"/>
    <col min="3" max="3" width="16" customWidth="1"/>
    <col min="4" max="4" width="12.42578125" customWidth="1"/>
    <col min="5" max="5" width="12.85546875" customWidth="1"/>
    <col min="6" max="6" width="19.140625" customWidth="1"/>
    <col min="7" max="7" width="12.7109375" customWidth="1"/>
    <col min="8" max="8" width="12.28515625" customWidth="1"/>
    <col min="9" max="9" width="13" customWidth="1"/>
    <col min="10" max="10" width="12.85546875" customWidth="1"/>
    <col min="11" max="11" width="13.7109375" customWidth="1"/>
    <col min="12" max="12" width="12.42578125" customWidth="1"/>
  </cols>
  <sheetData>
    <row r="2" spans="2:8" ht="18">
      <c r="B2" s="162" t="s">
        <v>114</v>
      </c>
    </row>
    <row r="3" spans="2:8" ht="15.75" thickBot="1"/>
    <row r="4" spans="2:8" ht="71.25" customHeight="1">
      <c r="B4" s="240" t="s">
        <v>162</v>
      </c>
      <c r="C4" s="241"/>
      <c r="D4" s="241"/>
      <c r="E4" s="241"/>
      <c r="F4" s="241"/>
      <c r="G4" s="241"/>
      <c r="H4" s="242"/>
    </row>
    <row r="5" spans="2:8" ht="18.75" customHeight="1">
      <c r="B5" s="243"/>
      <c r="C5" s="244"/>
      <c r="D5" s="244"/>
      <c r="E5" s="244"/>
      <c r="F5" s="244"/>
      <c r="G5" s="244"/>
      <c r="H5" s="245"/>
    </row>
    <row r="6" spans="2:8" ht="18.75" customHeight="1">
      <c r="B6" s="243"/>
      <c r="C6" s="244"/>
      <c r="D6" s="244"/>
      <c r="E6" s="244"/>
      <c r="F6" s="244"/>
      <c r="G6" s="244"/>
      <c r="H6" s="245"/>
    </row>
    <row r="7" spans="2:8" ht="27.75" customHeight="1">
      <c r="B7" s="243"/>
      <c r="C7" s="244"/>
      <c r="D7" s="244"/>
      <c r="E7" s="244"/>
      <c r="F7" s="244"/>
      <c r="G7" s="244"/>
      <c r="H7" s="245"/>
    </row>
    <row r="8" spans="2:8" ht="32.25" customHeight="1">
      <c r="B8" s="243"/>
      <c r="C8" s="244"/>
      <c r="D8" s="244"/>
      <c r="E8" s="244"/>
      <c r="F8" s="244"/>
      <c r="G8" s="244"/>
      <c r="H8" s="245"/>
    </row>
    <row r="9" spans="2:8">
      <c r="B9" s="243"/>
      <c r="C9" s="244"/>
      <c r="D9" s="244"/>
      <c r="E9" s="244"/>
      <c r="F9" s="244"/>
      <c r="G9" s="244"/>
      <c r="H9" s="245"/>
    </row>
    <row r="10" spans="2:8">
      <c r="B10" s="243"/>
      <c r="C10" s="244"/>
      <c r="D10" s="244"/>
      <c r="E10" s="244"/>
      <c r="F10" s="244"/>
      <c r="G10" s="244"/>
      <c r="H10" s="245"/>
    </row>
    <row r="11" spans="2:8">
      <c r="B11" s="243"/>
      <c r="C11" s="244"/>
      <c r="D11" s="244"/>
      <c r="E11" s="244"/>
      <c r="F11" s="244"/>
      <c r="G11" s="244"/>
      <c r="H11" s="245"/>
    </row>
    <row r="12" spans="2:8">
      <c r="B12" s="243"/>
      <c r="C12" s="244"/>
      <c r="D12" s="244"/>
      <c r="E12" s="244"/>
      <c r="F12" s="244"/>
      <c r="G12" s="244"/>
      <c r="H12" s="245"/>
    </row>
    <row r="13" spans="2:8">
      <c r="B13" s="243"/>
      <c r="C13" s="244"/>
      <c r="D13" s="244"/>
      <c r="E13" s="244"/>
      <c r="F13" s="244"/>
      <c r="G13" s="244"/>
      <c r="H13" s="245"/>
    </row>
    <row r="14" spans="2:8">
      <c r="B14" s="243"/>
      <c r="C14" s="244"/>
      <c r="D14" s="244"/>
      <c r="E14" s="244"/>
      <c r="F14" s="244"/>
      <c r="G14" s="244"/>
      <c r="H14" s="245"/>
    </row>
    <row r="15" spans="2:8">
      <c r="B15" s="243"/>
      <c r="C15" s="244"/>
      <c r="D15" s="244"/>
      <c r="E15" s="244"/>
      <c r="F15" s="244"/>
      <c r="G15" s="244"/>
      <c r="H15" s="245"/>
    </row>
    <row r="16" spans="2:8">
      <c r="B16" s="243"/>
      <c r="C16" s="244"/>
      <c r="D16" s="244"/>
      <c r="E16" s="244"/>
      <c r="F16" s="244"/>
      <c r="G16" s="244"/>
      <c r="H16" s="245"/>
    </row>
    <row r="17" spans="1:20">
      <c r="B17" s="243"/>
      <c r="C17" s="244"/>
      <c r="D17" s="244"/>
      <c r="E17" s="244"/>
      <c r="F17" s="244"/>
      <c r="G17" s="244"/>
      <c r="H17" s="245"/>
    </row>
    <row r="18" spans="1:20">
      <c r="B18" s="243"/>
      <c r="C18" s="244"/>
      <c r="D18" s="244"/>
      <c r="E18" s="244"/>
      <c r="F18" s="244"/>
      <c r="G18" s="244"/>
      <c r="H18" s="245"/>
    </row>
    <row r="19" spans="1:20">
      <c r="B19" s="243"/>
      <c r="C19" s="244"/>
      <c r="D19" s="244"/>
      <c r="E19" s="244"/>
      <c r="F19" s="244"/>
      <c r="G19" s="244"/>
      <c r="H19" s="245"/>
      <c r="I19" s="164"/>
      <c r="J19" s="164"/>
    </row>
    <row r="20" spans="1:20" ht="24" customHeight="1">
      <c r="B20" s="243"/>
      <c r="C20" s="244"/>
      <c r="D20" s="244"/>
      <c r="E20" s="244"/>
      <c r="F20" s="244"/>
      <c r="G20" s="244"/>
      <c r="H20" s="245"/>
      <c r="I20" s="164"/>
      <c r="J20" s="164"/>
    </row>
    <row r="21" spans="1:20" ht="24.75" customHeight="1">
      <c r="B21" s="243"/>
      <c r="C21" s="244"/>
      <c r="D21" s="244"/>
      <c r="E21" s="244"/>
      <c r="F21" s="244"/>
      <c r="G21" s="244"/>
      <c r="H21" s="245"/>
      <c r="I21" s="164"/>
      <c r="J21" s="164"/>
    </row>
    <row r="22" spans="1:20" ht="44.25" customHeight="1" thickBot="1">
      <c r="B22" s="246"/>
      <c r="C22" s="247"/>
      <c r="D22" s="247"/>
      <c r="E22" s="247"/>
      <c r="F22" s="247"/>
      <c r="G22" s="247"/>
      <c r="H22" s="248"/>
      <c r="I22" s="164"/>
      <c r="J22" s="164"/>
    </row>
    <row r="23" spans="1:20" ht="20.25">
      <c r="A23" s="1"/>
      <c r="B23" s="1"/>
      <c r="C23" s="2"/>
      <c r="D23" s="2"/>
      <c r="E23" s="2"/>
      <c r="F23" s="2"/>
      <c r="G23" s="2"/>
      <c r="H23" s="2"/>
      <c r="I23" s="2"/>
      <c r="J23" s="204"/>
      <c r="K23" s="2"/>
      <c r="L23" s="2"/>
      <c r="M23" s="2"/>
      <c r="N23" s="1"/>
      <c r="O23" s="1"/>
      <c r="P23" s="1"/>
      <c r="Q23" s="1"/>
      <c r="R23" s="1"/>
      <c r="S23" s="1"/>
      <c r="T23" s="1"/>
    </row>
    <row r="24" spans="1:20" ht="21" thickBot="1">
      <c r="A24" s="1"/>
      <c r="B24" s="238" t="s">
        <v>119</v>
      </c>
      <c r="C24" s="238"/>
      <c r="D24" s="238"/>
      <c r="E24" s="2"/>
      <c r="F24" s="2"/>
      <c r="G24" s="2"/>
      <c r="H24" s="2"/>
      <c r="I24" s="2"/>
      <c r="J24" s="204"/>
      <c r="K24" s="2"/>
      <c r="L24" s="2"/>
      <c r="M24" s="2"/>
      <c r="N24" s="1"/>
      <c r="O24" s="1"/>
      <c r="P24" s="1"/>
      <c r="Q24" s="1"/>
      <c r="R24" s="1"/>
      <c r="S24" s="1"/>
      <c r="T24" s="1"/>
    </row>
    <row r="25" spans="1:20" ht="30" customHeight="1">
      <c r="A25" s="239"/>
      <c r="B25" s="4" t="s">
        <v>0</v>
      </c>
      <c r="C25" s="5" t="s">
        <v>1</v>
      </c>
      <c r="D25" s="6" t="s">
        <v>2</v>
      </c>
      <c r="E25" s="7"/>
      <c r="F25" s="260" t="s">
        <v>109</v>
      </c>
      <c r="G25" s="261"/>
      <c r="H25" s="261"/>
      <c r="I25" s="261"/>
      <c r="J25" s="262"/>
      <c r="K25" s="168"/>
      <c r="L25" s="7"/>
      <c r="M25" s="7"/>
      <c r="N25" s="8"/>
      <c r="O25" s="8"/>
      <c r="P25" s="8"/>
      <c r="Q25" s="8"/>
      <c r="R25" s="8"/>
      <c r="S25" s="8"/>
      <c r="T25" s="8"/>
    </row>
    <row r="26" spans="1:20">
      <c r="A26" s="239"/>
      <c r="B26" s="9" t="s">
        <v>3</v>
      </c>
      <c r="C26" s="100">
        <v>50000</v>
      </c>
      <c r="D26" s="10"/>
      <c r="E26" s="11"/>
      <c r="F26" s="263"/>
      <c r="G26" s="264"/>
      <c r="H26" s="264"/>
      <c r="I26" s="264"/>
      <c r="J26" s="265"/>
      <c r="K26" s="38"/>
      <c r="L26" s="11"/>
      <c r="M26" s="11"/>
      <c r="N26" s="12"/>
      <c r="O26" s="12"/>
      <c r="P26" s="12"/>
      <c r="Q26" s="12"/>
      <c r="R26" s="12"/>
      <c r="S26" s="12"/>
      <c r="T26" s="12"/>
    </row>
    <row r="27" spans="1:20" ht="15.75" thickBot="1">
      <c r="A27" s="239"/>
      <c r="B27" s="9" t="s">
        <v>4</v>
      </c>
      <c r="C27" s="100">
        <v>140000</v>
      </c>
      <c r="D27" s="13">
        <v>25</v>
      </c>
      <c r="E27" s="11"/>
      <c r="F27" s="266"/>
      <c r="G27" s="267"/>
      <c r="H27" s="267"/>
      <c r="I27" s="267"/>
      <c r="J27" s="268"/>
      <c r="K27" s="11"/>
      <c r="L27" s="11"/>
      <c r="M27" s="11"/>
      <c r="N27" s="12"/>
      <c r="O27" s="12"/>
      <c r="P27" s="12"/>
      <c r="Q27" s="12"/>
      <c r="R27" s="12"/>
      <c r="S27" s="12"/>
      <c r="T27" s="12"/>
    </row>
    <row r="28" spans="1:20">
      <c r="A28" s="239"/>
      <c r="B28" s="9" t="s">
        <v>5</v>
      </c>
      <c r="C28" s="39"/>
      <c r="D28" s="13"/>
      <c r="E28" s="11"/>
      <c r="F28" s="11"/>
      <c r="G28" s="11"/>
      <c r="H28" s="11"/>
      <c r="I28" s="11"/>
      <c r="J28" s="11"/>
      <c r="K28" s="11"/>
      <c r="L28" s="11"/>
      <c r="M28" s="11"/>
      <c r="N28" s="12"/>
      <c r="O28" s="12"/>
      <c r="P28" s="12"/>
      <c r="Q28" s="12"/>
      <c r="R28" s="12"/>
      <c r="S28" s="12"/>
      <c r="T28" s="12"/>
    </row>
    <row r="29" spans="1:20">
      <c r="A29" s="239"/>
      <c r="B29" s="205" t="s">
        <v>6</v>
      </c>
      <c r="C29" s="100">
        <v>150000</v>
      </c>
      <c r="D29" s="13">
        <v>10</v>
      </c>
      <c r="E29" s="11"/>
      <c r="F29" s="11"/>
      <c r="G29" s="11"/>
      <c r="H29" s="11"/>
      <c r="I29" s="11"/>
      <c r="J29" s="11"/>
      <c r="K29" s="11"/>
      <c r="L29" s="11"/>
      <c r="M29" s="11"/>
      <c r="N29" s="12"/>
      <c r="O29" s="12"/>
      <c r="P29" s="12"/>
      <c r="Q29" s="12"/>
      <c r="R29" s="12"/>
      <c r="S29" s="12"/>
      <c r="T29" s="12"/>
    </row>
    <row r="30" spans="1:20">
      <c r="A30" s="239"/>
      <c r="B30" s="205" t="s">
        <v>7</v>
      </c>
      <c r="C30" s="100">
        <v>40000</v>
      </c>
      <c r="D30" s="13">
        <v>10</v>
      </c>
      <c r="E30" s="11"/>
      <c r="F30" s="11"/>
      <c r="G30" s="11"/>
      <c r="H30" s="11"/>
      <c r="I30" s="11"/>
      <c r="J30" s="11"/>
      <c r="K30" s="11"/>
      <c r="L30" s="11"/>
      <c r="M30" s="11"/>
      <c r="N30" s="12"/>
      <c r="O30" s="12"/>
      <c r="P30" s="12"/>
      <c r="Q30" s="12"/>
      <c r="R30" s="12"/>
      <c r="S30" s="12"/>
      <c r="T30" s="12"/>
    </row>
    <row r="31" spans="1:20" ht="15.75" thickBot="1">
      <c r="A31" s="239"/>
      <c r="B31" s="206" t="s">
        <v>8</v>
      </c>
      <c r="C31" s="101">
        <v>90000</v>
      </c>
      <c r="D31" s="15">
        <v>10</v>
      </c>
      <c r="E31" s="11"/>
      <c r="F31" s="11"/>
      <c r="G31" s="11"/>
      <c r="H31" s="11"/>
      <c r="I31" s="11"/>
      <c r="J31" s="11"/>
      <c r="K31" s="11"/>
      <c r="L31" s="11"/>
      <c r="M31" s="11"/>
      <c r="N31" s="12"/>
      <c r="O31" s="12"/>
      <c r="P31" s="12"/>
      <c r="Q31" s="12"/>
      <c r="R31" s="12"/>
      <c r="S31" s="12"/>
      <c r="T31" s="12"/>
    </row>
    <row r="32" spans="1:20" ht="33.75" thickBot="1">
      <c r="A32" s="16"/>
      <c r="B32" s="17" t="s">
        <v>9</v>
      </c>
      <c r="C32" s="180">
        <f>SUM(C26:C31)</f>
        <v>470000</v>
      </c>
      <c r="D32" s="18"/>
      <c r="E32" s="11"/>
      <c r="F32" s="11"/>
      <c r="G32" s="11"/>
      <c r="H32" s="11"/>
      <c r="I32" s="11"/>
      <c r="J32" s="11"/>
      <c r="K32" s="11"/>
      <c r="L32" s="11"/>
      <c r="M32" s="11"/>
      <c r="N32" s="12"/>
      <c r="O32" s="12"/>
      <c r="P32" s="12"/>
      <c r="Q32" s="12"/>
      <c r="R32" s="12"/>
      <c r="S32" s="12"/>
      <c r="T32" s="12"/>
    </row>
    <row r="33" spans="1:20" ht="33">
      <c r="A33" s="16"/>
      <c r="B33" s="19"/>
      <c r="C33" s="20"/>
      <c r="D33" s="21"/>
      <c r="E33" s="11"/>
      <c r="F33" s="11"/>
      <c r="G33" s="11"/>
      <c r="H33" s="11"/>
      <c r="I33" s="11"/>
      <c r="J33" s="11"/>
      <c r="K33" s="11"/>
      <c r="L33" s="11"/>
      <c r="M33" s="11"/>
      <c r="N33" s="12"/>
      <c r="O33" s="12"/>
      <c r="P33" s="12"/>
      <c r="Q33" s="12"/>
      <c r="R33" s="12"/>
      <c r="S33" s="12"/>
      <c r="T33" s="12"/>
    </row>
    <row r="34" spans="1:20" ht="16.5" thickBot="1">
      <c r="A34" s="12"/>
      <c r="B34" s="238" t="s">
        <v>120</v>
      </c>
      <c r="C34" s="238"/>
      <c r="D34" s="11"/>
      <c r="E34" s="11"/>
      <c r="F34" s="11"/>
      <c r="G34" s="11"/>
      <c r="H34" s="11"/>
      <c r="I34" s="11"/>
      <c r="J34" s="11"/>
      <c r="K34" s="11"/>
      <c r="L34" s="11"/>
      <c r="M34" s="11"/>
      <c r="N34" s="12"/>
      <c r="O34" s="12"/>
      <c r="P34" s="12"/>
      <c r="Q34" s="12"/>
      <c r="R34" s="12"/>
      <c r="S34" s="12"/>
      <c r="T34" s="12"/>
    </row>
    <row r="35" spans="1:20">
      <c r="A35" s="153"/>
      <c r="B35" s="112" t="s">
        <v>62</v>
      </c>
      <c r="C35" s="113" t="s">
        <v>63</v>
      </c>
      <c r="D35" s="11"/>
      <c r="E35" s="11"/>
      <c r="F35" s="11"/>
      <c r="G35" s="11"/>
      <c r="H35" s="11"/>
      <c r="I35" s="11"/>
      <c r="J35" s="11"/>
      <c r="K35" s="11"/>
      <c r="L35" s="11"/>
      <c r="M35" s="11"/>
      <c r="N35" s="12"/>
      <c r="O35" s="12"/>
      <c r="P35" s="12"/>
      <c r="Q35" s="12"/>
      <c r="R35" s="12"/>
      <c r="S35" s="12"/>
      <c r="T35" s="12"/>
    </row>
    <row r="36" spans="1:20">
      <c r="A36" s="153"/>
      <c r="B36" s="22" t="s">
        <v>142</v>
      </c>
      <c r="C36" s="114">
        <v>10</v>
      </c>
      <c r="D36" s="11"/>
      <c r="E36" s="11"/>
      <c r="F36" s="11"/>
      <c r="G36" s="11"/>
      <c r="H36" s="11"/>
      <c r="I36" s="11"/>
      <c r="J36" s="11"/>
      <c r="K36" s="11"/>
      <c r="L36" s="11"/>
      <c r="M36" s="11"/>
      <c r="N36" s="12"/>
      <c r="O36" s="12"/>
      <c r="P36" s="12"/>
      <c r="Q36" s="12"/>
      <c r="R36" s="12"/>
      <c r="S36" s="12"/>
      <c r="T36" s="12"/>
    </row>
    <row r="37" spans="1:20" ht="15.75" thickBot="1">
      <c r="A37" s="236"/>
      <c r="B37" s="23" t="s">
        <v>10</v>
      </c>
      <c r="C37" s="102">
        <v>5000</v>
      </c>
      <c r="D37" s="11"/>
      <c r="E37" s="11"/>
      <c r="F37" s="11"/>
      <c r="G37" s="11"/>
      <c r="H37" s="11"/>
      <c r="I37" s="11"/>
      <c r="J37" s="11"/>
      <c r="K37" s="11"/>
      <c r="L37" s="11"/>
      <c r="M37" s="11"/>
      <c r="N37" s="12"/>
      <c r="O37" s="12"/>
      <c r="P37" s="12"/>
      <c r="Q37" s="12"/>
      <c r="R37" s="12"/>
      <c r="S37" s="12"/>
      <c r="T37" s="12"/>
    </row>
    <row r="38" spans="1:20" ht="15" customHeight="1">
      <c r="A38" s="236"/>
      <c r="B38" s="23" t="s">
        <v>121</v>
      </c>
      <c r="C38" s="102">
        <v>80</v>
      </c>
      <c r="D38" s="11"/>
      <c r="E38" s="11"/>
      <c r="F38" s="249" t="s">
        <v>124</v>
      </c>
      <c r="G38" s="250"/>
      <c r="H38" s="250"/>
      <c r="I38" s="250"/>
      <c r="J38" s="251"/>
      <c r="K38" s="11"/>
      <c r="L38" s="11"/>
      <c r="M38" s="11"/>
      <c r="N38" s="12"/>
      <c r="O38" s="12"/>
      <c r="P38" s="12"/>
      <c r="Q38" s="12"/>
      <c r="R38" s="12"/>
      <c r="S38" s="12"/>
      <c r="T38" s="12"/>
    </row>
    <row r="39" spans="1:20">
      <c r="A39" s="236"/>
      <c r="B39" s="23" t="s">
        <v>122</v>
      </c>
      <c r="C39" s="102">
        <v>25</v>
      </c>
      <c r="D39" s="11"/>
      <c r="E39" s="11"/>
      <c r="F39" s="252"/>
      <c r="G39" s="253"/>
      <c r="H39" s="253"/>
      <c r="I39" s="253"/>
      <c r="J39" s="254"/>
      <c r="K39" s="11"/>
      <c r="L39" s="11"/>
      <c r="M39" s="11"/>
      <c r="N39" s="12"/>
      <c r="O39" s="12"/>
      <c r="P39" s="12"/>
      <c r="Q39" s="12"/>
      <c r="R39" s="12"/>
      <c r="S39" s="12"/>
      <c r="T39" s="12"/>
    </row>
    <row r="40" spans="1:20">
      <c r="A40" s="236"/>
      <c r="B40" s="24" t="s">
        <v>123</v>
      </c>
      <c r="C40" s="115">
        <v>30000</v>
      </c>
      <c r="D40" s="11"/>
      <c r="E40" s="11"/>
      <c r="F40" s="252"/>
      <c r="G40" s="253"/>
      <c r="H40" s="253"/>
      <c r="I40" s="253"/>
      <c r="J40" s="254"/>
      <c r="K40" s="11"/>
      <c r="L40" s="11"/>
      <c r="M40" s="11"/>
      <c r="N40" s="12"/>
      <c r="O40" s="12"/>
      <c r="P40" s="12"/>
      <c r="Q40" s="12"/>
      <c r="R40" s="12"/>
      <c r="S40" s="12"/>
      <c r="T40" s="12"/>
    </row>
    <row r="41" spans="1:20" ht="33.75" thickBot="1">
      <c r="A41" s="16"/>
      <c r="B41" s="23" t="s">
        <v>160</v>
      </c>
      <c r="C41" s="116">
        <v>0.11</v>
      </c>
      <c r="D41" s="11"/>
      <c r="E41" s="11"/>
      <c r="F41" s="255"/>
      <c r="G41" s="256"/>
      <c r="H41" s="256"/>
      <c r="I41" s="256"/>
      <c r="J41" s="257"/>
      <c r="K41" s="11"/>
      <c r="L41" s="11"/>
      <c r="M41" s="11"/>
      <c r="N41" s="12"/>
      <c r="O41" s="12"/>
      <c r="P41" s="12"/>
      <c r="Q41" s="12"/>
      <c r="R41" s="12"/>
      <c r="S41" s="12"/>
      <c r="T41" s="12"/>
    </row>
    <row r="42" spans="1:20" ht="33.75" thickBot="1">
      <c r="A42" s="16"/>
      <c r="B42" s="25" t="s">
        <v>11</v>
      </c>
      <c r="C42" s="117">
        <v>0.22</v>
      </c>
      <c r="D42" s="11"/>
      <c r="E42" s="11"/>
      <c r="F42" s="11"/>
      <c r="G42" s="11"/>
      <c r="H42" s="11"/>
      <c r="I42" s="11"/>
      <c r="J42" s="11"/>
      <c r="K42" s="11"/>
      <c r="L42" s="11"/>
      <c r="M42" s="11"/>
      <c r="N42" s="12"/>
      <c r="O42" s="12"/>
      <c r="P42" s="12"/>
      <c r="Q42" s="12"/>
      <c r="R42" s="12"/>
      <c r="S42" s="12"/>
      <c r="T42" s="12"/>
    </row>
    <row r="43" spans="1:20">
      <c r="A43" s="12"/>
      <c r="B43" s="12"/>
      <c r="C43" s="11"/>
      <c r="D43" s="11"/>
      <c r="E43" s="11"/>
      <c r="F43" s="11"/>
      <c r="G43" s="11"/>
      <c r="H43" s="11"/>
      <c r="I43" s="11"/>
      <c r="J43" s="11"/>
      <c r="K43" s="11"/>
      <c r="L43" s="11"/>
      <c r="M43" s="11"/>
      <c r="N43" s="12"/>
      <c r="O43" s="12"/>
      <c r="P43" s="12"/>
      <c r="Q43" s="12"/>
      <c r="R43" s="12"/>
      <c r="S43" s="12"/>
      <c r="T43" s="12"/>
    </row>
    <row r="44" spans="1:20" ht="20.25">
      <c r="A44" s="1"/>
      <c r="B44" s="3"/>
      <c r="C44" s="11"/>
      <c r="D44" s="11"/>
      <c r="E44" s="11"/>
      <c r="F44" s="11"/>
      <c r="G44" s="11"/>
      <c r="H44" s="11"/>
      <c r="I44" s="11"/>
      <c r="J44" s="11"/>
      <c r="K44" s="11"/>
      <c r="L44" s="11"/>
      <c r="M44" s="11"/>
      <c r="N44" s="12"/>
      <c r="O44" s="12"/>
      <c r="P44" s="12"/>
      <c r="Q44" s="12"/>
      <c r="R44" s="12"/>
      <c r="S44" s="12"/>
      <c r="T44" s="12"/>
    </row>
    <row r="45" spans="1:20" ht="16.5" thickBot="1">
      <c r="A45" s="12"/>
      <c r="B45" s="166" t="s">
        <v>125</v>
      </c>
      <c r="C45" s="11"/>
      <c r="D45" s="11"/>
      <c r="E45" s="11"/>
      <c r="F45" s="11"/>
      <c r="G45" s="11"/>
      <c r="H45" s="11"/>
      <c r="I45" s="11"/>
      <c r="J45" s="11"/>
      <c r="K45" s="11"/>
      <c r="L45" s="11"/>
      <c r="M45" s="11"/>
      <c r="N45" s="12"/>
      <c r="O45" s="12"/>
      <c r="P45" s="12"/>
      <c r="Q45" s="12"/>
      <c r="R45" s="12"/>
      <c r="S45" s="12"/>
      <c r="T45" s="12"/>
    </row>
    <row r="46" spans="1:20">
      <c r="A46" s="236"/>
      <c r="B46" s="44" t="s">
        <v>12</v>
      </c>
      <c r="C46" s="45">
        <v>1</v>
      </c>
      <c r="D46" s="45">
        <v>2</v>
      </c>
      <c r="E46" s="45">
        <v>3</v>
      </c>
      <c r="F46" s="45">
        <v>4</v>
      </c>
      <c r="G46" s="45">
        <v>5</v>
      </c>
      <c r="H46" s="45">
        <v>6</v>
      </c>
      <c r="I46" s="45">
        <v>7</v>
      </c>
      <c r="J46" s="45">
        <v>8</v>
      </c>
      <c r="K46" s="45">
        <v>9</v>
      </c>
      <c r="L46" s="46">
        <v>10</v>
      </c>
      <c r="M46" s="26"/>
      <c r="N46" s="12"/>
      <c r="O46" s="12"/>
      <c r="P46" s="12"/>
      <c r="Q46" s="12"/>
      <c r="R46" s="12"/>
      <c r="S46" s="12"/>
      <c r="T46" s="12"/>
    </row>
    <row r="47" spans="1:20">
      <c r="A47" s="236"/>
      <c r="B47" s="47" t="s">
        <v>13</v>
      </c>
      <c r="C47" s="14">
        <v>60</v>
      </c>
      <c r="D47" s="14">
        <v>80</v>
      </c>
      <c r="E47" s="14">
        <v>100</v>
      </c>
      <c r="F47" s="14">
        <v>100</v>
      </c>
      <c r="G47" s="14">
        <v>100</v>
      </c>
      <c r="H47" s="14">
        <v>100</v>
      </c>
      <c r="I47" s="14">
        <v>100</v>
      </c>
      <c r="J47" s="14">
        <v>100</v>
      </c>
      <c r="K47" s="14">
        <v>100</v>
      </c>
      <c r="L47" s="10">
        <v>100</v>
      </c>
      <c r="M47" s="11"/>
      <c r="N47" s="12"/>
      <c r="O47" s="12"/>
      <c r="P47" s="12"/>
      <c r="Q47" s="12"/>
      <c r="R47" s="12"/>
      <c r="S47" s="12"/>
      <c r="T47" s="12"/>
    </row>
    <row r="48" spans="1:20">
      <c r="A48" s="236"/>
      <c r="B48" s="47" t="s">
        <v>14</v>
      </c>
      <c r="C48" s="14">
        <f>$C$37*C47/100</f>
        <v>3000</v>
      </c>
      <c r="D48" s="14">
        <f t="shared" ref="D48:L48" si="0">$C$37*D47/100</f>
        <v>4000</v>
      </c>
      <c r="E48" s="14">
        <f t="shared" si="0"/>
        <v>5000</v>
      </c>
      <c r="F48" s="14">
        <f t="shared" si="0"/>
        <v>5000</v>
      </c>
      <c r="G48" s="14">
        <f t="shared" si="0"/>
        <v>5000</v>
      </c>
      <c r="H48" s="14">
        <f t="shared" si="0"/>
        <v>5000</v>
      </c>
      <c r="I48" s="14">
        <f t="shared" si="0"/>
        <v>5000</v>
      </c>
      <c r="J48" s="14">
        <f t="shared" si="0"/>
        <v>5000</v>
      </c>
      <c r="K48" s="14">
        <f t="shared" si="0"/>
        <v>5000</v>
      </c>
      <c r="L48" s="10">
        <f t="shared" si="0"/>
        <v>5000</v>
      </c>
      <c r="M48" s="11"/>
      <c r="N48" s="12"/>
      <c r="O48" s="12"/>
      <c r="P48" s="12"/>
      <c r="Q48" s="12"/>
      <c r="R48" s="12"/>
      <c r="S48" s="12"/>
      <c r="T48" s="12"/>
    </row>
    <row r="49" spans="1:20">
      <c r="A49" s="236"/>
      <c r="B49" s="47" t="s">
        <v>126</v>
      </c>
      <c r="C49" s="14">
        <f>C48*$C$38</f>
        <v>240000</v>
      </c>
      <c r="D49" s="14">
        <f t="shared" ref="D49:L49" si="1">D48*$C$38</f>
        <v>320000</v>
      </c>
      <c r="E49" s="14">
        <f t="shared" si="1"/>
        <v>400000</v>
      </c>
      <c r="F49" s="14">
        <f t="shared" si="1"/>
        <v>400000</v>
      </c>
      <c r="G49" s="14">
        <f t="shared" si="1"/>
        <v>400000</v>
      </c>
      <c r="H49" s="14">
        <f t="shared" si="1"/>
        <v>400000</v>
      </c>
      <c r="I49" s="14">
        <f t="shared" si="1"/>
        <v>400000</v>
      </c>
      <c r="J49" s="14">
        <f t="shared" si="1"/>
        <v>400000</v>
      </c>
      <c r="K49" s="14">
        <f t="shared" si="1"/>
        <v>400000</v>
      </c>
      <c r="L49" s="10">
        <f t="shared" si="1"/>
        <v>400000</v>
      </c>
      <c r="M49" s="11"/>
      <c r="N49" s="12"/>
      <c r="O49" s="12"/>
      <c r="P49" s="12"/>
      <c r="Q49" s="12"/>
      <c r="R49" s="12"/>
      <c r="S49" s="12"/>
      <c r="T49" s="12"/>
    </row>
    <row r="50" spans="1:20">
      <c r="A50" s="236"/>
      <c r="B50" s="47" t="s">
        <v>127</v>
      </c>
      <c r="C50" s="14">
        <f>$C$39*C48</f>
        <v>75000</v>
      </c>
      <c r="D50" s="14">
        <f t="shared" ref="D50:L50" si="2">$C$39*D48</f>
        <v>100000</v>
      </c>
      <c r="E50" s="14">
        <f t="shared" si="2"/>
        <v>125000</v>
      </c>
      <c r="F50" s="14">
        <f t="shared" si="2"/>
        <v>125000</v>
      </c>
      <c r="G50" s="14">
        <f t="shared" si="2"/>
        <v>125000</v>
      </c>
      <c r="H50" s="14">
        <f t="shared" si="2"/>
        <v>125000</v>
      </c>
      <c r="I50" s="14">
        <f t="shared" si="2"/>
        <v>125000</v>
      </c>
      <c r="J50" s="14">
        <f t="shared" si="2"/>
        <v>125000</v>
      </c>
      <c r="K50" s="14">
        <f t="shared" si="2"/>
        <v>125000</v>
      </c>
      <c r="L50" s="10">
        <f t="shared" si="2"/>
        <v>125000</v>
      </c>
      <c r="M50" s="11"/>
      <c r="N50" s="12"/>
      <c r="O50" s="12"/>
      <c r="P50" s="12"/>
      <c r="Q50" s="12"/>
      <c r="R50" s="12"/>
      <c r="S50" s="12"/>
      <c r="T50" s="12"/>
    </row>
    <row r="51" spans="1:20" ht="15.75" thickBot="1">
      <c r="A51" s="236"/>
      <c r="B51" s="52" t="s">
        <v>128</v>
      </c>
      <c r="C51" s="207">
        <f>$C$40</f>
        <v>30000</v>
      </c>
      <c r="D51" s="207">
        <f t="shared" ref="D51:L51" si="3">$C$40</f>
        <v>30000</v>
      </c>
      <c r="E51" s="207">
        <f t="shared" si="3"/>
        <v>30000</v>
      </c>
      <c r="F51" s="207">
        <f t="shared" si="3"/>
        <v>30000</v>
      </c>
      <c r="G51" s="207">
        <f t="shared" si="3"/>
        <v>30000</v>
      </c>
      <c r="H51" s="207">
        <f t="shared" si="3"/>
        <v>30000</v>
      </c>
      <c r="I51" s="207">
        <f t="shared" si="3"/>
        <v>30000</v>
      </c>
      <c r="J51" s="207">
        <f t="shared" si="3"/>
        <v>30000</v>
      </c>
      <c r="K51" s="207">
        <f t="shared" si="3"/>
        <v>30000</v>
      </c>
      <c r="L51" s="80">
        <f t="shared" si="3"/>
        <v>30000</v>
      </c>
      <c r="M51" s="11"/>
      <c r="N51" s="12"/>
      <c r="O51" s="12"/>
      <c r="P51" s="12"/>
      <c r="Q51" s="12"/>
      <c r="R51" s="12"/>
      <c r="S51" s="12"/>
      <c r="T51" s="12"/>
    </row>
    <row r="52" spans="1:20">
      <c r="A52" s="12"/>
      <c r="B52" s="12"/>
      <c r="C52" s="11"/>
      <c r="D52" s="11"/>
      <c r="E52" s="11"/>
      <c r="F52" s="11"/>
      <c r="G52" s="11"/>
      <c r="H52" s="11"/>
      <c r="I52" s="11"/>
      <c r="J52" s="11"/>
      <c r="K52" s="11"/>
      <c r="L52" s="11"/>
      <c r="M52" s="11"/>
      <c r="N52" s="12"/>
      <c r="O52" s="12"/>
      <c r="P52" s="12"/>
      <c r="Q52" s="12"/>
      <c r="R52" s="12"/>
      <c r="S52" s="12"/>
      <c r="T52" s="12"/>
    </row>
    <row r="53" spans="1:20" ht="15.75" thickBot="1">
      <c r="A53" s="12"/>
      <c r="B53" s="12"/>
      <c r="C53" s="11"/>
      <c r="D53" s="11"/>
      <c r="E53" s="11"/>
      <c r="F53" s="11"/>
      <c r="G53" s="11"/>
      <c r="H53" s="11"/>
      <c r="I53" s="11"/>
      <c r="J53" s="11"/>
      <c r="K53" s="11"/>
      <c r="L53" s="11"/>
      <c r="M53" s="11"/>
      <c r="N53" s="12"/>
      <c r="O53" s="12"/>
      <c r="P53" s="12"/>
      <c r="Q53" s="12"/>
      <c r="R53" s="12"/>
      <c r="S53" s="12"/>
      <c r="T53" s="12"/>
    </row>
    <row r="54" spans="1:20">
      <c r="A54" s="12"/>
      <c r="B54" s="12"/>
      <c r="C54" s="11"/>
      <c r="D54" s="11"/>
      <c r="E54" s="11"/>
      <c r="F54" s="249" t="s">
        <v>129</v>
      </c>
      <c r="G54" s="250"/>
      <c r="H54" s="250"/>
      <c r="I54" s="250"/>
      <c r="J54" s="251"/>
      <c r="K54" s="11"/>
      <c r="L54" s="11"/>
      <c r="M54" s="11"/>
      <c r="N54" s="12"/>
      <c r="O54" s="12"/>
      <c r="P54" s="12"/>
      <c r="Q54" s="12"/>
      <c r="R54" s="12"/>
      <c r="S54" s="12"/>
      <c r="T54" s="12"/>
    </row>
    <row r="55" spans="1:20">
      <c r="A55" s="12"/>
      <c r="B55" s="12"/>
      <c r="C55" s="11"/>
      <c r="D55" s="11"/>
      <c r="E55" s="11"/>
      <c r="F55" s="252"/>
      <c r="G55" s="253"/>
      <c r="H55" s="253"/>
      <c r="I55" s="253"/>
      <c r="J55" s="254"/>
      <c r="K55" s="11"/>
      <c r="L55" s="11"/>
      <c r="M55" s="11"/>
      <c r="N55" s="12"/>
      <c r="O55" s="12"/>
      <c r="P55" s="12"/>
      <c r="Q55" s="12"/>
      <c r="R55" s="12"/>
      <c r="S55" s="12"/>
      <c r="T55" s="12"/>
    </row>
    <row r="56" spans="1:20">
      <c r="A56" s="12"/>
      <c r="B56" s="12"/>
      <c r="C56" s="11"/>
      <c r="D56" s="11"/>
      <c r="E56" s="11"/>
      <c r="F56" s="252"/>
      <c r="G56" s="253"/>
      <c r="H56" s="253"/>
      <c r="I56" s="253"/>
      <c r="J56" s="254"/>
      <c r="K56" s="11"/>
      <c r="L56" s="11"/>
      <c r="M56" s="11"/>
      <c r="N56" s="12"/>
      <c r="O56" s="12"/>
      <c r="P56" s="12"/>
      <c r="Q56" s="12"/>
      <c r="R56" s="12"/>
      <c r="S56" s="12"/>
      <c r="T56" s="12"/>
    </row>
    <row r="57" spans="1:20" ht="15.75" thickBot="1">
      <c r="A57" s="12"/>
      <c r="B57" s="12"/>
      <c r="C57" s="11"/>
      <c r="D57" s="11"/>
      <c r="E57" s="11"/>
      <c r="F57" s="255"/>
      <c r="G57" s="256"/>
      <c r="H57" s="256"/>
      <c r="I57" s="256"/>
      <c r="J57" s="257"/>
      <c r="K57" s="11"/>
      <c r="L57" s="11"/>
      <c r="M57" s="11"/>
      <c r="N57" s="12"/>
      <c r="O57" s="12"/>
      <c r="P57" s="12"/>
      <c r="Q57" s="12"/>
      <c r="R57" s="12"/>
      <c r="S57" s="12"/>
      <c r="T57" s="12"/>
    </row>
    <row r="58" spans="1:20" ht="20.25">
      <c r="A58" s="27"/>
      <c r="B58" s="12"/>
      <c r="C58" s="11"/>
      <c r="D58" s="11"/>
      <c r="E58" s="11"/>
      <c r="F58" s="11"/>
      <c r="G58" s="11"/>
      <c r="H58" s="11"/>
      <c r="I58" s="11"/>
      <c r="J58" s="11"/>
      <c r="K58" s="11"/>
      <c r="L58" s="11"/>
      <c r="M58" s="11"/>
      <c r="N58" s="12"/>
      <c r="O58" s="12"/>
      <c r="P58" s="12"/>
      <c r="Q58" s="12"/>
      <c r="R58" s="12"/>
      <c r="S58" s="12"/>
      <c r="T58" s="12"/>
    </row>
    <row r="59" spans="1:20" ht="16.5" thickBot="1">
      <c r="A59" s="28"/>
      <c r="B59" s="166" t="s">
        <v>130</v>
      </c>
      <c r="C59" s="11"/>
      <c r="D59" s="11"/>
      <c r="E59" s="11"/>
      <c r="F59" s="11"/>
      <c r="G59" s="11"/>
      <c r="H59" s="11"/>
      <c r="I59" s="11"/>
      <c r="J59" s="11"/>
      <c r="K59" s="11"/>
      <c r="L59" s="11"/>
      <c r="M59" s="11"/>
      <c r="N59" s="12"/>
      <c r="O59" s="12"/>
      <c r="P59" s="12"/>
      <c r="Q59" s="12"/>
      <c r="R59" s="12"/>
      <c r="S59" s="12"/>
      <c r="T59" s="12"/>
    </row>
    <row r="60" spans="1:20">
      <c r="A60" s="236"/>
      <c r="B60" s="29"/>
      <c r="C60" s="30"/>
      <c r="D60" s="30"/>
      <c r="E60" s="30"/>
      <c r="F60" s="258" t="s">
        <v>15</v>
      </c>
      <c r="G60" s="259"/>
      <c r="H60" s="11"/>
      <c r="I60" s="11"/>
      <c r="J60" s="11"/>
      <c r="K60" s="11"/>
      <c r="L60" s="11"/>
      <c r="M60" s="11"/>
      <c r="N60" s="12"/>
      <c r="O60" s="12"/>
      <c r="P60" s="12"/>
      <c r="Q60" s="12"/>
      <c r="R60" s="12"/>
      <c r="S60" s="12"/>
      <c r="T60" s="12"/>
    </row>
    <row r="61" spans="1:20" ht="15.75" thickBot="1">
      <c r="A61" s="236"/>
      <c r="B61" s="31" t="s">
        <v>0</v>
      </c>
      <c r="C61" s="109" t="s">
        <v>131</v>
      </c>
      <c r="D61" s="109" t="s">
        <v>16</v>
      </c>
      <c r="E61" s="109" t="s">
        <v>133</v>
      </c>
      <c r="F61" s="109" t="s">
        <v>17</v>
      </c>
      <c r="G61" s="110" t="s">
        <v>18</v>
      </c>
      <c r="H61" s="11"/>
      <c r="I61" s="11"/>
      <c r="J61" s="11"/>
      <c r="K61" s="11"/>
      <c r="L61" s="11"/>
      <c r="M61" s="11"/>
      <c r="N61" s="12"/>
      <c r="O61" s="12"/>
      <c r="P61" s="12"/>
      <c r="Q61" s="12"/>
      <c r="R61" s="12"/>
      <c r="S61" s="12"/>
      <c r="T61" s="12"/>
    </row>
    <row r="62" spans="1:20">
      <c r="A62" s="236"/>
      <c r="B62" s="32" t="s">
        <v>4</v>
      </c>
      <c r="C62" s="43">
        <f>C27</f>
        <v>140000</v>
      </c>
      <c r="D62" s="43">
        <f>D27</f>
        <v>25</v>
      </c>
      <c r="E62" s="43">
        <f>C62/D62</f>
        <v>5600</v>
      </c>
      <c r="F62" s="39"/>
      <c r="G62" s="208">
        <f>C62-(E62*10)</f>
        <v>84000</v>
      </c>
      <c r="H62" s="11"/>
      <c r="I62" s="249" t="s">
        <v>116</v>
      </c>
      <c r="J62" s="250"/>
      <c r="K62" s="250"/>
      <c r="L62" s="250"/>
      <c r="M62" s="251"/>
      <c r="N62" s="12"/>
      <c r="O62" s="12"/>
      <c r="P62" s="12"/>
      <c r="Q62" s="12"/>
      <c r="R62" s="12"/>
      <c r="S62" s="12"/>
      <c r="T62" s="12"/>
    </row>
    <row r="63" spans="1:20">
      <c r="A63" s="236"/>
      <c r="B63" s="32" t="s">
        <v>3</v>
      </c>
      <c r="C63" s="43">
        <v>50000</v>
      </c>
      <c r="D63" s="43"/>
      <c r="E63" s="43"/>
      <c r="F63" s="39"/>
      <c r="G63" s="208">
        <f>+C63</f>
        <v>50000</v>
      </c>
      <c r="H63" s="11"/>
      <c r="I63" s="252"/>
      <c r="J63" s="253"/>
      <c r="K63" s="253"/>
      <c r="L63" s="253"/>
      <c r="M63" s="254"/>
      <c r="N63" s="12"/>
      <c r="O63" s="12"/>
      <c r="P63" s="12"/>
      <c r="Q63" s="12"/>
      <c r="R63" s="12"/>
      <c r="S63" s="12"/>
      <c r="T63" s="12"/>
    </row>
    <row r="64" spans="1:20">
      <c r="A64" s="236"/>
      <c r="B64" s="32" t="s">
        <v>6</v>
      </c>
      <c r="C64" s="43">
        <f t="shared" ref="C64:D66" si="4">C29</f>
        <v>150000</v>
      </c>
      <c r="D64" s="43">
        <f t="shared" si="4"/>
        <v>10</v>
      </c>
      <c r="E64" s="43">
        <f t="shared" ref="E64:E66" si="5">C64/D64</f>
        <v>15000</v>
      </c>
      <c r="F64" s="39"/>
      <c r="G64" s="102">
        <f>+C64*0.1</f>
        <v>15000</v>
      </c>
      <c r="H64" s="11"/>
      <c r="I64" s="252"/>
      <c r="J64" s="253"/>
      <c r="K64" s="253"/>
      <c r="L64" s="253"/>
      <c r="M64" s="254"/>
      <c r="N64" s="12"/>
      <c r="O64" s="12"/>
      <c r="P64" s="12"/>
      <c r="Q64" s="12"/>
      <c r="R64" s="12"/>
      <c r="S64" s="12"/>
      <c r="T64" s="12"/>
    </row>
    <row r="65" spans="1:20">
      <c r="A65" s="236"/>
      <c r="B65" s="32" t="s">
        <v>7</v>
      </c>
      <c r="C65" s="43">
        <f t="shared" si="4"/>
        <v>40000</v>
      </c>
      <c r="D65" s="43">
        <f t="shared" si="4"/>
        <v>10</v>
      </c>
      <c r="E65" s="43">
        <f t="shared" si="5"/>
        <v>4000</v>
      </c>
      <c r="F65" s="43"/>
      <c r="G65" s="102">
        <f>+C65*0.2</f>
        <v>8000</v>
      </c>
      <c r="H65" s="11"/>
      <c r="I65" s="252"/>
      <c r="J65" s="253"/>
      <c r="K65" s="253"/>
      <c r="L65" s="253"/>
      <c r="M65" s="254"/>
      <c r="N65" s="12"/>
      <c r="O65" s="12"/>
      <c r="P65" s="12"/>
      <c r="Q65" s="12"/>
      <c r="R65" s="12"/>
      <c r="S65" s="12"/>
      <c r="T65" s="12"/>
    </row>
    <row r="66" spans="1:20" ht="15.75" thickBot="1">
      <c r="A66" s="236"/>
      <c r="B66" s="34" t="s">
        <v>8</v>
      </c>
      <c r="C66" s="103">
        <f t="shared" si="4"/>
        <v>90000</v>
      </c>
      <c r="D66" s="103">
        <f t="shared" si="4"/>
        <v>10</v>
      </c>
      <c r="E66" s="43">
        <f t="shared" si="5"/>
        <v>9000</v>
      </c>
      <c r="F66" s="104"/>
      <c r="G66" s="105">
        <v>0</v>
      </c>
      <c r="H66" s="11"/>
      <c r="I66" s="255"/>
      <c r="J66" s="256"/>
      <c r="K66" s="256"/>
      <c r="L66" s="256"/>
      <c r="M66" s="257"/>
      <c r="N66" s="12"/>
      <c r="O66" s="12"/>
      <c r="P66" s="12"/>
      <c r="Q66" s="12"/>
      <c r="R66" s="12"/>
      <c r="S66" s="12"/>
      <c r="T66" s="12"/>
    </row>
    <row r="67" spans="1:20" ht="33.75" thickBot="1">
      <c r="A67" s="16"/>
      <c r="B67" s="35" t="s">
        <v>132</v>
      </c>
      <c r="C67" s="106"/>
      <c r="D67" s="106"/>
      <c r="E67" s="179">
        <f>SUM(E62:E66)</f>
        <v>33600</v>
      </c>
      <c r="F67" s="107"/>
      <c r="G67" s="108">
        <f>SUM(G62:G66)</f>
        <v>157000</v>
      </c>
      <c r="H67" s="11"/>
      <c r="I67" s="11"/>
      <c r="J67" s="11"/>
      <c r="K67" s="11"/>
      <c r="L67" s="11"/>
      <c r="M67" s="11"/>
      <c r="N67" s="12"/>
      <c r="O67" s="12"/>
      <c r="P67" s="12"/>
      <c r="Q67" s="12"/>
      <c r="R67" s="12"/>
      <c r="S67" s="12"/>
      <c r="T67" s="12"/>
    </row>
    <row r="68" spans="1:20" ht="33">
      <c r="A68" s="16"/>
      <c r="B68" s="36"/>
      <c r="C68" s="37"/>
      <c r="D68" s="37"/>
      <c r="E68" s="37"/>
      <c r="F68" s="38"/>
      <c r="G68" s="37"/>
      <c r="H68" s="11"/>
      <c r="I68" s="11"/>
      <c r="J68" s="11"/>
      <c r="K68" s="11"/>
      <c r="L68" s="11"/>
      <c r="M68" s="11"/>
      <c r="N68" s="12"/>
      <c r="O68" s="12"/>
      <c r="P68" s="12"/>
      <c r="Q68" s="12"/>
      <c r="R68" s="12"/>
      <c r="S68" s="12"/>
      <c r="T68" s="12"/>
    </row>
    <row r="69" spans="1:20" ht="20.25">
      <c r="A69" s="1"/>
      <c r="B69" s="166" t="s">
        <v>134</v>
      </c>
      <c r="C69" s="2"/>
      <c r="D69" s="2"/>
      <c r="E69" s="2"/>
      <c r="F69" s="2"/>
      <c r="G69" s="2"/>
      <c r="H69" s="2"/>
      <c r="I69" s="2"/>
      <c r="J69" s="2"/>
      <c r="K69" s="2"/>
      <c r="L69" s="2"/>
      <c r="M69" s="2"/>
      <c r="N69" s="1"/>
      <c r="O69" s="1"/>
      <c r="P69" s="1"/>
      <c r="Q69" s="1"/>
      <c r="R69" s="1"/>
      <c r="S69" s="1"/>
      <c r="T69" s="1"/>
    </row>
    <row r="70" spans="1:20" ht="15.75" thickBot="1">
      <c r="A70" s="236"/>
      <c r="B70" s="237" t="s">
        <v>19</v>
      </c>
      <c r="C70" s="237"/>
      <c r="D70" s="118" t="s">
        <v>20</v>
      </c>
      <c r="E70" s="118" t="s">
        <v>21</v>
      </c>
      <c r="F70" s="14"/>
      <c r="G70" s="11"/>
      <c r="H70" s="11"/>
      <c r="I70" s="11"/>
      <c r="J70" s="11"/>
      <c r="K70" s="11"/>
      <c r="L70" s="11"/>
      <c r="M70" s="11"/>
      <c r="N70" s="12"/>
      <c r="O70" s="12"/>
      <c r="P70" s="12"/>
      <c r="Q70" s="12"/>
      <c r="R70" s="12"/>
      <c r="S70" s="12"/>
      <c r="T70" s="12"/>
    </row>
    <row r="71" spans="1:20">
      <c r="A71" s="236"/>
      <c r="B71" s="40" t="s">
        <v>135</v>
      </c>
      <c r="C71" s="41" t="s">
        <v>137</v>
      </c>
      <c r="D71" s="42">
        <v>0.25</v>
      </c>
      <c r="E71" s="14">
        <f>C49</f>
        <v>240000</v>
      </c>
      <c r="F71" s="14">
        <f>D71*E71</f>
        <v>60000</v>
      </c>
      <c r="G71" s="11"/>
      <c r="H71" s="269" t="s">
        <v>140</v>
      </c>
      <c r="I71" s="270"/>
      <c r="J71" s="270"/>
      <c r="K71" s="270"/>
      <c r="L71" s="270"/>
      <c r="M71" s="271"/>
      <c r="N71" s="12"/>
      <c r="O71" s="12"/>
      <c r="P71" s="12"/>
      <c r="Q71" s="12"/>
      <c r="R71" s="12"/>
      <c r="S71" s="12"/>
      <c r="T71" s="12"/>
    </row>
    <row r="72" spans="1:20" ht="29.25" thickBot="1">
      <c r="A72" s="236"/>
      <c r="B72" s="172" t="s">
        <v>136</v>
      </c>
      <c r="C72" s="173" t="s">
        <v>138</v>
      </c>
      <c r="D72" s="174">
        <v>0.3</v>
      </c>
      <c r="E72" s="175">
        <f>C50+C51</f>
        <v>105000</v>
      </c>
      <c r="F72" s="175">
        <f>D72*E72</f>
        <v>31500</v>
      </c>
      <c r="G72" s="11"/>
      <c r="H72" s="272"/>
      <c r="I72" s="253"/>
      <c r="J72" s="253"/>
      <c r="K72" s="253"/>
      <c r="L72" s="253"/>
      <c r="M72" s="273"/>
      <c r="N72" s="12"/>
      <c r="O72" s="12"/>
      <c r="P72" s="12"/>
      <c r="Q72" s="12"/>
      <c r="R72" s="12"/>
      <c r="S72" s="12"/>
      <c r="T72" s="12"/>
    </row>
    <row r="73" spans="1:20" ht="15.75" thickBot="1">
      <c r="A73" s="236"/>
      <c r="B73" s="176" t="s">
        <v>139</v>
      </c>
      <c r="C73" s="177" t="s">
        <v>22</v>
      </c>
      <c r="D73" s="178"/>
      <c r="E73" s="178"/>
      <c r="F73" s="182">
        <f>F71-F72</f>
        <v>28500</v>
      </c>
      <c r="G73" s="11"/>
      <c r="H73" s="274"/>
      <c r="I73" s="275"/>
      <c r="J73" s="275"/>
      <c r="K73" s="275"/>
      <c r="L73" s="275"/>
      <c r="M73" s="276"/>
      <c r="N73" s="12"/>
      <c r="O73" s="12"/>
      <c r="P73" s="12"/>
      <c r="Q73" s="12"/>
      <c r="R73" s="12"/>
      <c r="S73" s="12"/>
      <c r="T73" s="12"/>
    </row>
    <row r="74" spans="1:20">
      <c r="A74" s="12"/>
      <c r="B74" s="12"/>
      <c r="C74" s="11"/>
      <c r="D74" s="11"/>
      <c r="E74" s="11"/>
      <c r="F74" s="11"/>
      <c r="G74" s="11"/>
      <c r="H74" s="11"/>
      <c r="I74" s="11"/>
      <c r="J74" s="11"/>
      <c r="K74" s="11"/>
      <c r="L74" s="11"/>
      <c r="M74" s="11"/>
      <c r="N74" s="12"/>
      <c r="O74" s="12"/>
      <c r="P74" s="12"/>
      <c r="Q74" s="12"/>
      <c r="R74" s="12"/>
      <c r="S74" s="12"/>
      <c r="T74" s="12"/>
    </row>
    <row r="75" spans="1:20" ht="21" thickBot="1">
      <c r="A75" s="1"/>
      <c r="B75" s="166" t="s">
        <v>143</v>
      </c>
      <c r="C75" s="11"/>
      <c r="D75" s="11"/>
      <c r="E75" s="11"/>
      <c r="F75" s="11"/>
      <c r="G75" s="11"/>
      <c r="H75" s="11"/>
      <c r="I75" s="11"/>
      <c r="J75" s="11"/>
      <c r="K75" s="11"/>
      <c r="L75" s="11"/>
      <c r="M75" s="11"/>
      <c r="N75" s="12"/>
      <c r="O75" s="12"/>
      <c r="P75" s="12"/>
      <c r="Q75" s="12"/>
      <c r="R75" s="12"/>
      <c r="S75" s="12"/>
      <c r="T75" s="12"/>
    </row>
    <row r="76" spans="1:20">
      <c r="A76" s="239"/>
      <c r="B76" s="44" t="s">
        <v>23</v>
      </c>
      <c r="C76" s="45">
        <v>1</v>
      </c>
      <c r="D76" s="45">
        <v>2</v>
      </c>
      <c r="E76" s="45">
        <v>3</v>
      </c>
      <c r="F76" s="45">
        <v>4</v>
      </c>
      <c r="G76" s="45">
        <v>5</v>
      </c>
      <c r="H76" s="45">
        <v>6</v>
      </c>
      <c r="I76" s="45">
        <v>7</v>
      </c>
      <c r="J76" s="45">
        <v>8</v>
      </c>
      <c r="K76" s="45">
        <v>9</v>
      </c>
      <c r="L76" s="46">
        <v>10</v>
      </c>
      <c r="M76" s="26"/>
      <c r="N76" s="12"/>
      <c r="O76" s="12"/>
      <c r="P76" s="12"/>
      <c r="Q76" s="12"/>
      <c r="R76" s="12"/>
      <c r="S76" s="12"/>
      <c r="T76" s="12"/>
    </row>
    <row r="77" spans="1:20">
      <c r="A77" s="239"/>
      <c r="B77" s="23" t="s">
        <v>24</v>
      </c>
      <c r="C77" s="33">
        <f>C49</f>
        <v>240000</v>
      </c>
      <c r="D77" s="33">
        <f t="shared" ref="D77:L77" si="6">D49</f>
        <v>320000</v>
      </c>
      <c r="E77" s="33">
        <f t="shared" si="6"/>
        <v>400000</v>
      </c>
      <c r="F77" s="33">
        <f t="shared" si="6"/>
        <v>400000</v>
      </c>
      <c r="G77" s="33">
        <f t="shared" si="6"/>
        <v>400000</v>
      </c>
      <c r="H77" s="33">
        <f t="shared" si="6"/>
        <v>400000</v>
      </c>
      <c r="I77" s="33">
        <f t="shared" si="6"/>
        <v>400000</v>
      </c>
      <c r="J77" s="33">
        <f t="shared" si="6"/>
        <v>400000</v>
      </c>
      <c r="K77" s="33">
        <f t="shared" si="6"/>
        <v>400000</v>
      </c>
      <c r="L77" s="33">
        <f t="shared" si="6"/>
        <v>400000</v>
      </c>
      <c r="M77" s="37"/>
      <c r="N77" s="12"/>
      <c r="O77" s="12"/>
      <c r="P77" s="12"/>
      <c r="Q77" s="12"/>
      <c r="R77" s="12"/>
      <c r="S77" s="12"/>
      <c r="T77" s="12"/>
    </row>
    <row r="78" spans="1:20">
      <c r="A78" s="239"/>
      <c r="B78" s="23" t="s">
        <v>161</v>
      </c>
      <c r="C78" s="33">
        <f>C77*$C$41</f>
        <v>26400</v>
      </c>
      <c r="D78" s="33">
        <f t="shared" ref="D78:L78" si="7">D77*$C$41</f>
        <v>35200</v>
      </c>
      <c r="E78" s="33">
        <f t="shared" si="7"/>
        <v>44000</v>
      </c>
      <c r="F78" s="33">
        <f t="shared" si="7"/>
        <v>44000</v>
      </c>
      <c r="G78" s="33">
        <f t="shared" si="7"/>
        <v>44000</v>
      </c>
      <c r="H78" s="33">
        <f t="shared" si="7"/>
        <v>44000</v>
      </c>
      <c r="I78" s="33">
        <f t="shared" si="7"/>
        <v>44000</v>
      </c>
      <c r="J78" s="33">
        <f t="shared" si="7"/>
        <v>44000</v>
      </c>
      <c r="K78" s="33">
        <f t="shared" si="7"/>
        <v>44000</v>
      </c>
      <c r="L78" s="33">
        <f t="shared" si="7"/>
        <v>44000</v>
      </c>
      <c r="M78" s="37"/>
      <c r="N78" s="12"/>
      <c r="O78" s="12"/>
      <c r="P78" s="12"/>
      <c r="Q78" s="12"/>
      <c r="R78" s="12"/>
      <c r="S78" s="12"/>
      <c r="T78" s="12"/>
    </row>
    <row r="79" spans="1:20">
      <c r="A79" s="239"/>
      <c r="B79" s="47" t="s">
        <v>28</v>
      </c>
      <c r="C79" s="184">
        <f>C77 -C78</f>
        <v>213600</v>
      </c>
      <c r="D79" s="184">
        <f t="shared" ref="D79:L79" si="8">D77 -D78</f>
        <v>284800</v>
      </c>
      <c r="E79" s="184">
        <f t="shared" si="8"/>
        <v>356000</v>
      </c>
      <c r="F79" s="184">
        <f t="shared" si="8"/>
        <v>356000</v>
      </c>
      <c r="G79" s="184">
        <f t="shared" si="8"/>
        <v>356000</v>
      </c>
      <c r="H79" s="184">
        <f t="shared" si="8"/>
        <v>356000</v>
      </c>
      <c r="I79" s="184">
        <f t="shared" si="8"/>
        <v>356000</v>
      </c>
      <c r="J79" s="184">
        <f t="shared" si="8"/>
        <v>356000</v>
      </c>
      <c r="K79" s="184">
        <f t="shared" si="8"/>
        <v>356000</v>
      </c>
      <c r="L79" s="184">
        <f t="shared" si="8"/>
        <v>356000</v>
      </c>
      <c r="M79" s="49"/>
      <c r="N79" s="282"/>
      <c r="O79" s="282"/>
      <c r="P79" s="282"/>
      <c r="Q79" s="282"/>
      <c r="R79" s="282"/>
      <c r="S79" s="12"/>
      <c r="T79" s="12"/>
    </row>
    <row r="80" spans="1:20" ht="15.75" thickBot="1">
      <c r="A80" s="239"/>
      <c r="B80" s="47" t="s">
        <v>29</v>
      </c>
      <c r="C80" s="188">
        <f>SUM(C81:C82)</f>
        <v>105000</v>
      </c>
      <c r="D80" s="188">
        <f t="shared" ref="D80:L80" si="9">SUM(D81:D82)</f>
        <v>130000</v>
      </c>
      <c r="E80" s="188">
        <f t="shared" si="9"/>
        <v>155000</v>
      </c>
      <c r="F80" s="188">
        <f t="shared" si="9"/>
        <v>155000</v>
      </c>
      <c r="G80" s="188">
        <f t="shared" si="9"/>
        <v>155000</v>
      </c>
      <c r="H80" s="188">
        <f t="shared" si="9"/>
        <v>155000</v>
      </c>
      <c r="I80" s="188">
        <f t="shared" si="9"/>
        <v>155000</v>
      </c>
      <c r="J80" s="188">
        <f t="shared" si="9"/>
        <v>155000</v>
      </c>
      <c r="K80" s="188">
        <f t="shared" si="9"/>
        <v>155000</v>
      </c>
      <c r="L80" s="189">
        <f t="shared" si="9"/>
        <v>155000</v>
      </c>
      <c r="M80" s="49"/>
      <c r="N80" s="282"/>
      <c r="O80" s="282"/>
      <c r="P80" s="282"/>
      <c r="Q80" s="282"/>
      <c r="R80" s="282"/>
      <c r="S80" s="12"/>
      <c r="T80" s="12"/>
    </row>
    <row r="81" spans="1:20" ht="15" customHeight="1">
      <c r="A81" s="239"/>
      <c r="B81" s="23" t="s">
        <v>30</v>
      </c>
      <c r="C81" s="33">
        <f t="shared" ref="C81:L81" si="10">C50</f>
        <v>75000</v>
      </c>
      <c r="D81" s="33">
        <f t="shared" si="10"/>
        <v>100000</v>
      </c>
      <c r="E81" s="33">
        <f t="shared" si="10"/>
        <v>125000</v>
      </c>
      <c r="F81" s="33">
        <f t="shared" si="10"/>
        <v>125000</v>
      </c>
      <c r="G81" s="33">
        <f t="shared" si="10"/>
        <v>125000</v>
      </c>
      <c r="H81" s="33">
        <f t="shared" si="10"/>
        <v>125000</v>
      </c>
      <c r="I81" s="33">
        <f t="shared" si="10"/>
        <v>125000</v>
      </c>
      <c r="J81" s="33">
        <f t="shared" si="10"/>
        <v>125000</v>
      </c>
      <c r="K81" s="33">
        <f t="shared" si="10"/>
        <v>125000</v>
      </c>
      <c r="L81" s="33">
        <f t="shared" si="10"/>
        <v>125000</v>
      </c>
      <c r="M81" s="37"/>
      <c r="N81" s="289" t="s">
        <v>141</v>
      </c>
      <c r="O81" s="290"/>
      <c r="P81" s="290"/>
      <c r="Q81" s="290"/>
      <c r="R81" s="291"/>
      <c r="S81" s="12"/>
      <c r="T81" s="12"/>
    </row>
    <row r="82" spans="1:20">
      <c r="A82" s="239"/>
      <c r="B82" s="23" t="s">
        <v>31</v>
      </c>
      <c r="C82" s="33">
        <f t="shared" ref="C82:L82" si="11">C51</f>
        <v>30000</v>
      </c>
      <c r="D82" s="33">
        <f t="shared" si="11"/>
        <v>30000</v>
      </c>
      <c r="E82" s="33">
        <f t="shared" si="11"/>
        <v>30000</v>
      </c>
      <c r="F82" s="33">
        <f t="shared" si="11"/>
        <v>30000</v>
      </c>
      <c r="G82" s="33">
        <f t="shared" si="11"/>
        <v>30000</v>
      </c>
      <c r="H82" s="33">
        <f t="shared" si="11"/>
        <v>30000</v>
      </c>
      <c r="I82" s="33">
        <f t="shared" si="11"/>
        <v>30000</v>
      </c>
      <c r="J82" s="33">
        <f t="shared" si="11"/>
        <v>30000</v>
      </c>
      <c r="K82" s="33">
        <f t="shared" si="11"/>
        <v>30000</v>
      </c>
      <c r="L82" s="33">
        <f t="shared" si="11"/>
        <v>30000</v>
      </c>
      <c r="M82" s="37"/>
      <c r="N82" s="292"/>
      <c r="O82" s="282"/>
      <c r="P82" s="282"/>
      <c r="Q82" s="282"/>
      <c r="R82" s="293"/>
      <c r="S82" s="12"/>
      <c r="T82" s="12"/>
    </row>
    <row r="83" spans="1:20">
      <c r="A83" s="239"/>
      <c r="B83" s="47" t="s">
        <v>32</v>
      </c>
      <c r="C83" s="217">
        <f t="shared" ref="C83:L83" si="12">SUM(C84:C84)</f>
        <v>33600</v>
      </c>
      <c r="D83" s="217">
        <f t="shared" si="12"/>
        <v>33600</v>
      </c>
      <c r="E83" s="217">
        <f t="shared" si="12"/>
        <v>33600</v>
      </c>
      <c r="F83" s="217">
        <f t="shared" si="12"/>
        <v>33600</v>
      </c>
      <c r="G83" s="217">
        <f t="shared" si="12"/>
        <v>33600</v>
      </c>
      <c r="H83" s="217">
        <f t="shared" si="12"/>
        <v>33600</v>
      </c>
      <c r="I83" s="217">
        <f t="shared" si="12"/>
        <v>33600</v>
      </c>
      <c r="J83" s="217">
        <f t="shared" si="12"/>
        <v>33600</v>
      </c>
      <c r="K83" s="217">
        <f t="shared" si="12"/>
        <v>33600</v>
      </c>
      <c r="L83" s="217">
        <f t="shared" si="12"/>
        <v>33600</v>
      </c>
      <c r="M83" s="49"/>
      <c r="N83" s="292"/>
      <c r="O83" s="282"/>
      <c r="P83" s="282"/>
      <c r="Q83" s="282"/>
      <c r="R83" s="293"/>
      <c r="S83" s="12"/>
      <c r="T83" s="12"/>
    </row>
    <row r="84" spans="1:20" ht="15.75" thickBot="1">
      <c r="A84" s="239"/>
      <c r="B84" s="23" t="s">
        <v>33</v>
      </c>
      <c r="C84" s="33">
        <f>$E$67</f>
        <v>33600</v>
      </c>
      <c r="D84" s="33">
        <f t="shared" ref="D84:L84" si="13">$E$67</f>
        <v>33600</v>
      </c>
      <c r="E84" s="33">
        <f t="shared" si="13"/>
        <v>33600</v>
      </c>
      <c r="F84" s="33">
        <f t="shared" si="13"/>
        <v>33600</v>
      </c>
      <c r="G84" s="33">
        <f t="shared" si="13"/>
        <v>33600</v>
      </c>
      <c r="H84" s="33">
        <f t="shared" si="13"/>
        <v>33600</v>
      </c>
      <c r="I84" s="33">
        <f t="shared" si="13"/>
        <v>33600</v>
      </c>
      <c r="J84" s="33">
        <f t="shared" si="13"/>
        <v>33600</v>
      </c>
      <c r="K84" s="33">
        <f t="shared" si="13"/>
        <v>33600</v>
      </c>
      <c r="L84" s="33">
        <f t="shared" si="13"/>
        <v>33600</v>
      </c>
      <c r="M84" s="37"/>
      <c r="N84" s="294"/>
      <c r="O84" s="295"/>
      <c r="P84" s="295"/>
      <c r="Q84" s="295"/>
      <c r="R84" s="296"/>
      <c r="S84" s="12"/>
      <c r="T84" s="12"/>
    </row>
    <row r="85" spans="1:20" ht="15.75" thickBot="1">
      <c r="A85" s="239"/>
      <c r="B85" s="160" t="s">
        <v>34</v>
      </c>
      <c r="C85" s="161">
        <f>C79-(C80+C83)</f>
        <v>75000</v>
      </c>
      <c r="D85" s="161">
        <f t="shared" ref="D85:L85" si="14">D79-(D80+D83)</f>
        <v>121200</v>
      </c>
      <c r="E85" s="161">
        <f t="shared" si="14"/>
        <v>167400</v>
      </c>
      <c r="F85" s="161">
        <f t="shared" si="14"/>
        <v>167400</v>
      </c>
      <c r="G85" s="161">
        <f t="shared" si="14"/>
        <v>167400</v>
      </c>
      <c r="H85" s="161">
        <f t="shared" si="14"/>
        <v>167400</v>
      </c>
      <c r="I85" s="161">
        <f t="shared" si="14"/>
        <v>167400</v>
      </c>
      <c r="J85" s="161">
        <f t="shared" si="14"/>
        <v>167400</v>
      </c>
      <c r="K85" s="161">
        <f t="shared" si="14"/>
        <v>167400</v>
      </c>
      <c r="L85" s="161">
        <f t="shared" si="14"/>
        <v>167400</v>
      </c>
      <c r="M85" s="37"/>
      <c r="N85" s="12"/>
      <c r="O85" s="12"/>
      <c r="P85" s="12"/>
      <c r="Q85" s="12"/>
      <c r="R85" s="12"/>
      <c r="S85" s="12"/>
      <c r="T85" s="12"/>
    </row>
    <row r="86" spans="1:20" ht="15.75" thickBot="1">
      <c r="A86" s="236"/>
      <c r="B86" s="171" t="s">
        <v>111</v>
      </c>
      <c r="C86" s="191">
        <f>$C$42*C85</f>
        <v>16500</v>
      </c>
      <c r="D86" s="191">
        <f t="shared" ref="D86:L86" si="15">$C$42*D85</f>
        <v>26664</v>
      </c>
      <c r="E86" s="191">
        <f t="shared" si="15"/>
        <v>36828</v>
      </c>
      <c r="F86" s="191">
        <f t="shared" si="15"/>
        <v>36828</v>
      </c>
      <c r="G86" s="191">
        <f t="shared" si="15"/>
        <v>36828</v>
      </c>
      <c r="H86" s="191">
        <f t="shared" si="15"/>
        <v>36828</v>
      </c>
      <c r="I86" s="191">
        <f t="shared" si="15"/>
        <v>36828</v>
      </c>
      <c r="J86" s="191">
        <f t="shared" si="15"/>
        <v>36828</v>
      </c>
      <c r="K86" s="191">
        <f t="shared" si="15"/>
        <v>36828</v>
      </c>
      <c r="L86" s="192">
        <f t="shared" si="15"/>
        <v>36828</v>
      </c>
      <c r="M86" s="49"/>
      <c r="N86" s="12"/>
      <c r="O86" s="12"/>
      <c r="P86" s="12"/>
      <c r="Q86" s="12"/>
      <c r="R86" s="12"/>
      <c r="S86" s="12"/>
      <c r="T86" s="12"/>
    </row>
    <row r="87" spans="1:20">
      <c r="A87" s="209"/>
      <c r="B87" s="12"/>
      <c r="C87" s="11"/>
      <c r="D87" s="11"/>
      <c r="E87" s="11"/>
      <c r="F87" s="11"/>
      <c r="G87" s="11"/>
      <c r="H87" s="11"/>
      <c r="I87" s="11"/>
      <c r="J87" s="11"/>
      <c r="K87" s="11"/>
      <c r="L87" s="11"/>
      <c r="M87" s="11"/>
      <c r="N87" s="12"/>
      <c r="O87" s="12"/>
      <c r="P87" s="12"/>
      <c r="Q87" s="12"/>
      <c r="R87" s="12"/>
      <c r="S87" s="12"/>
      <c r="T87" s="12"/>
    </row>
    <row r="88" spans="1:20" ht="21" thickBot="1">
      <c r="A88" s="53"/>
      <c r="B88" s="167" t="s">
        <v>144</v>
      </c>
      <c r="N88" s="164"/>
      <c r="O88" s="12"/>
      <c r="P88" s="12"/>
      <c r="Q88" s="12"/>
      <c r="R88" s="12"/>
      <c r="S88" s="12"/>
      <c r="T88" s="12"/>
    </row>
    <row r="89" spans="1:20">
      <c r="A89" s="277"/>
      <c r="B89" s="55" t="s">
        <v>12</v>
      </c>
      <c r="C89" s="119">
        <v>0</v>
      </c>
      <c r="D89" s="119">
        <v>1</v>
      </c>
      <c r="E89" s="119">
        <v>2</v>
      </c>
      <c r="F89" s="119">
        <v>3</v>
      </c>
      <c r="G89" s="119">
        <v>4</v>
      </c>
      <c r="H89" s="119">
        <v>5</v>
      </c>
      <c r="I89" s="119">
        <v>6</v>
      </c>
      <c r="J89" s="119">
        <v>7</v>
      </c>
      <c r="K89" s="119">
        <v>8</v>
      </c>
      <c r="L89" s="119">
        <v>9</v>
      </c>
      <c r="M89" s="120">
        <v>10</v>
      </c>
      <c r="N89" s="210"/>
      <c r="O89" s="12"/>
      <c r="P89" s="12"/>
      <c r="Q89" s="12"/>
      <c r="R89" s="12"/>
      <c r="S89" s="12"/>
      <c r="T89" s="12"/>
    </row>
    <row r="90" spans="1:20" ht="16.5" thickBot="1">
      <c r="A90" s="277"/>
      <c r="B90" s="59" t="s">
        <v>37</v>
      </c>
      <c r="C90" s="181">
        <f>-C32</f>
        <v>-470000</v>
      </c>
      <c r="D90" s="60"/>
      <c r="E90" s="61"/>
      <c r="F90" s="61"/>
      <c r="G90" s="62"/>
      <c r="H90" s="61"/>
      <c r="I90" s="60"/>
      <c r="J90" s="61"/>
      <c r="K90" s="61"/>
      <c r="L90" s="61"/>
      <c r="M90" s="169"/>
      <c r="N90" s="211"/>
      <c r="O90" s="12"/>
      <c r="P90" s="12"/>
      <c r="Q90" s="12"/>
      <c r="R90" s="12"/>
      <c r="S90" s="12"/>
      <c r="T90" s="12"/>
    </row>
    <row r="91" spans="1:20" ht="15.75" customHeight="1">
      <c r="A91" s="277"/>
      <c r="B91" s="59" t="s">
        <v>117</v>
      </c>
      <c r="C91" s="60"/>
      <c r="D91" s="183">
        <f>-$F$73</f>
        <v>-28500</v>
      </c>
      <c r="E91" s="61"/>
      <c r="F91" s="61"/>
      <c r="G91" s="62"/>
      <c r="H91" s="61"/>
      <c r="I91" s="60"/>
      <c r="J91" s="61"/>
      <c r="K91" s="61"/>
      <c r="L91" s="61"/>
      <c r="M91" s="169">
        <f>+$F$73</f>
        <v>28500</v>
      </c>
      <c r="N91" s="211"/>
      <c r="O91" s="249" t="s">
        <v>146</v>
      </c>
      <c r="P91" s="250"/>
      <c r="Q91" s="251"/>
      <c r="R91" s="12"/>
      <c r="S91" s="12"/>
      <c r="T91" s="12"/>
    </row>
    <row r="92" spans="1:20">
      <c r="A92" s="277"/>
      <c r="B92" s="59" t="s">
        <v>38</v>
      </c>
      <c r="C92" s="61"/>
      <c r="D92" s="185">
        <f t="shared" ref="D92:L92" si="16">C79</f>
        <v>213600</v>
      </c>
      <c r="E92" s="185">
        <f t="shared" si="16"/>
        <v>284800</v>
      </c>
      <c r="F92" s="185">
        <f t="shared" si="16"/>
        <v>356000</v>
      </c>
      <c r="G92" s="185">
        <f t="shared" si="16"/>
        <v>356000</v>
      </c>
      <c r="H92" s="185">
        <f t="shared" si="16"/>
        <v>356000</v>
      </c>
      <c r="I92" s="185">
        <f t="shared" si="16"/>
        <v>356000</v>
      </c>
      <c r="J92" s="185">
        <f t="shared" si="16"/>
        <v>356000</v>
      </c>
      <c r="K92" s="185">
        <f t="shared" si="16"/>
        <v>356000</v>
      </c>
      <c r="L92" s="185">
        <f t="shared" si="16"/>
        <v>356000</v>
      </c>
      <c r="M92" s="186">
        <f>L79</f>
        <v>356000</v>
      </c>
      <c r="N92" s="51"/>
      <c r="O92" s="252"/>
      <c r="P92" s="253"/>
      <c r="Q92" s="254"/>
      <c r="R92" s="12"/>
      <c r="S92" s="12"/>
      <c r="T92" s="12"/>
    </row>
    <row r="93" spans="1:20">
      <c r="A93" s="277"/>
      <c r="B93" s="59" t="s">
        <v>39</v>
      </c>
      <c r="C93" s="61"/>
      <c r="D93" s="190">
        <f t="shared" ref="D93:L93" si="17">-C80</f>
        <v>-105000</v>
      </c>
      <c r="E93" s="190">
        <f t="shared" si="17"/>
        <v>-130000</v>
      </c>
      <c r="F93" s="190">
        <f t="shared" si="17"/>
        <v>-155000</v>
      </c>
      <c r="G93" s="190">
        <f t="shared" si="17"/>
        <v>-155000</v>
      </c>
      <c r="H93" s="190">
        <f t="shared" si="17"/>
        <v>-155000</v>
      </c>
      <c r="I93" s="190">
        <f t="shared" si="17"/>
        <v>-155000</v>
      </c>
      <c r="J93" s="190">
        <f t="shared" si="17"/>
        <v>-155000</v>
      </c>
      <c r="K93" s="190">
        <f t="shared" si="17"/>
        <v>-155000</v>
      </c>
      <c r="L93" s="190">
        <f t="shared" si="17"/>
        <v>-155000</v>
      </c>
      <c r="M93" s="212">
        <f>-L80</f>
        <v>-155000</v>
      </c>
      <c r="N93" s="51"/>
      <c r="O93" s="252"/>
      <c r="P93" s="253"/>
      <c r="Q93" s="254"/>
      <c r="R93" s="12"/>
      <c r="S93" s="12"/>
      <c r="T93" s="12"/>
    </row>
    <row r="94" spans="1:20" ht="15.75" thickBot="1">
      <c r="A94" s="277"/>
      <c r="B94" s="59" t="s">
        <v>112</v>
      </c>
      <c r="C94" s="61"/>
      <c r="D94" s="193">
        <f t="shared" ref="D94:L94" si="18">-C86</f>
        <v>-16500</v>
      </c>
      <c r="E94" s="193">
        <f t="shared" si="18"/>
        <v>-26664</v>
      </c>
      <c r="F94" s="193">
        <f t="shared" si="18"/>
        <v>-36828</v>
      </c>
      <c r="G94" s="193">
        <f t="shared" si="18"/>
        <v>-36828</v>
      </c>
      <c r="H94" s="193">
        <f t="shared" si="18"/>
        <v>-36828</v>
      </c>
      <c r="I94" s="193">
        <f t="shared" si="18"/>
        <v>-36828</v>
      </c>
      <c r="J94" s="193">
        <f t="shared" si="18"/>
        <v>-36828</v>
      </c>
      <c r="K94" s="193">
        <f t="shared" si="18"/>
        <v>-36828</v>
      </c>
      <c r="L94" s="193">
        <f t="shared" si="18"/>
        <v>-36828</v>
      </c>
      <c r="M94" s="213">
        <f>-L86</f>
        <v>-36828</v>
      </c>
      <c r="N94" s="51"/>
      <c r="O94" s="255"/>
      <c r="P94" s="256"/>
      <c r="Q94" s="257"/>
      <c r="R94" s="12"/>
      <c r="S94" s="12"/>
      <c r="T94" s="12"/>
    </row>
    <row r="95" spans="1:20" ht="16.5" thickBot="1">
      <c r="A95" s="277"/>
      <c r="B95" s="95" t="s">
        <v>145</v>
      </c>
      <c r="C95" s="158"/>
      <c r="D95" s="158"/>
      <c r="E95" s="158"/>
      <c r="F95" s="158"/>
      <c r="G95" s="159"/>
      <c r="H95" s="155"/>
      <c r="I95" s="158"/>
      <c r="J95" s="158"/>
      <c r="K95" s="158"/>
      <c r="L95" s="158"/>
      <c r="M95" s="194">
        <f>+G67</f>
        <v>157000</v>
      </c>
      <c r="N95" s="51"/>
      <c r="O95" s="12"/>
      <c r="P95" s="12"/>
      <c r="Q95" s="12"/>
      <c r="R95" s="12"/>
      <c r="S95" s="12"/>
      <c r="T95" s="12"/>
    </row>
    <row r="96" spans="1:20" ht="15.75" thickBot="1">
      <c r="A96" s="277"/>
      <c r="B96" s="214" t="s">
        <v>42</v>
      </c>
      <c r="C96" s="215">
        <f>SUM(C90:C95)</f>
        <v>-470000</v>
      </c>
      <c r="D96" s="215">
        <f>SUM(D90:D95)</f>
        <v>63600</v>
      </c>
      <c r="E96" s="215">
        <f t="shared" ref="E96:M96" si="19">SUM(E90:E95)</f>
        <v>128136</v>
      </c>
      <c r="F96" s="215">
        <f t="shared" si="19"/>
        <v>164172</v>
      </c>
      <c r="G96" s="215">
        <f t="shared" si="19"/>
        <v>164172</v>
      </c>
      <c r="H96" s="215">
        <f t="shared" si="19"/>
        <v>164172</v>
      </c>
      <c r="I96" s="215">
        <f t="shared" si="19"/>
        <v>164172</v>
      </c>
      <c r="J96" s="215">
        <f t="shared" si="19"/>
        <v>164172</v>
      </c>
      <c r="K96" s="215">
        <f t="shared" si="19"/>
        <v>164172</v>
      </c>
      <c r="L96" s="215">
        <f t="shared" si="19"/>
        <v>164172</v>
      </c>
      <c r="M96" s="216">
        <f t="shared" si="19"/>
        <v>349672</v>
      </c>
      <c r="N96" s="51"/>
      <c r="O96" s="287"/>
      <c r="P96" s="288"/>
      <c r="Q96" s="288"/>
      <c r="R96" s="288"/>
      <c r="S96" s="12"/>
      <c r="T96" s="12"/>
    </row>
    <row r="97" spans="1:20" ht="33.75">
      <c r="A97" s="68"/>
      <c r="B97" s="69"/>
      <c r="C97" s="51"/>
      <c r="D97" s="51"/>
      <c r="E97" s="51"/>
      <c r="F97" s="51"/>
      <c r="G97" s="51"/>
      <c r="H97" s="51"/>
      <c r="I97" s="51"/>
      <c r="J97" s="51"/>
      <c r="K97" s="51"/>
      <c r="L97" s="51"/>
      <c r="M97" s="51"/>
      <c r="N97" s="51"/>
      <c r="O97" s="70"/>
      <c r="P97" s="71"/>
      <c r="Q97" s="71"/>
      <c r="R97" s="71"/>
      <c r="S97" s="12"/>
      <c r="T97" s="12"/>
    </row>
    <row r="98" spans="1:20">
      <c r="A98" s="12"/>
      <c r="B98" s="12"/>
      <c r="C98" s="11"/>
      <c r="D98" s="11"/>
      <c r="E98" s="11"/>
      <c r="F98" s="11"/>
      <c r="G98" s="38"/>
      <c r="H98" s="38"/>
      <c r="I98" s="38"/>
      <c r="J98" s="11"/>
      <c r="K98" s="11"/>
      <c r="L98" s="11"/>
      <c r="M98" s="11"/>
      <c r="N98" s="12"/>
      <c r="O98" s="12"/>
      <c r="P98" s="12"/>
      <c r="Q98" s="12"/>
      <c r="R98" s="12"/>
      <c r="S98" s="12"/>
      <c r="T98" s="12"/>
    </row>
    <row r="99" spans="1:20" ht="23.25">
      <c r="A99" s="12"/>
      <c r="B99" s="233" t="s">
        <v>158</v>
      </c>
      <c r="C99" s="11"/>
      <c r="D99" s="11"/>
      <c r="E99" s="11"/>
      <c r="F99" s="11"/>
      <c r="G99" s="38"/>
      <c r="H99" s="38"/>
      <c r="I99" s="38"/>
      <c r="J99" s="11"/>
      <c r="K99" s="11"/>
      <c r="L99" s="11"/>
      <c r="M99" s="11"/>
      <c r="N99" s="12"/>
      <c r="O99" s="12"/>
      <c r="P99" s="12"/>
      <c r="Q99" s="12"/>
      <c r="R99" s="12"/>
      <c r="S99" s="12"/>
      <c r="T99" s="12"/>
    </row>
    <row r="100" spans="1:20">
      <c r="A100" s="12"/>
      <c r="B100" s="12"/>
      <c r="C100" s="11"/>
      <c r="D100" s="11"/>
      <c r="E100" s="11"/>
      <c r="F100" s="11"/>
      <c r="G100" s="38"/>
      <c r="H100" s="99"/>
      <c r="I100" s="38"/>
      <c r="J100" s="11"/>
      <c r="K100" s="11"/>
      <c r="L100" s="11"/>
      <c r="M100" s="11"/>
      <c r="N100" s="12"/>
      <c r="O100" s="12"/>
      <c r="P100" s="12"/>
      <c r="Q100" s="12"/>
      <c r="R100" s="12"/>
      <c r="S100" s="12"/>
      <c r="T100" s="12"/>
    </row>
    <row r="101" spans="1:20" ht="16.5" thickBot="1">
      <c r="A101" s="12"/>
      <c r="B101" s="166" t="s">
        <v>147</v>
      </c>
      <c r="C101" s="11"/>
      <c r="D101" s="11"/>
      <c r="E101" s="11"/>
      <c r="F101" s="11"/>
      <c r="G101" s="11"/>
      <c r="H101" s="11"/>
      <c r="I101" s="11"/>
      <c r="J101" s="11"/>
      <c r="K101" s="11"/>
      <c r="L101" s="11"/>
      <c r="M101" s="11"/>
      <c r="N101" s="12"/>
      <c r="O101" s="12"/>
      <c r="P101" s="12"/>
      <c r="Q101" s="12"/>
      <c r="R101" s="12"/>
      <c r="S101" s="12"/>
      <c r="T101" s="12"/>
    </row>
    <row r="102" spans="1:20" ht="15.75" thickBot="1">
      <c r="A102" s="12"/>
      <c r="B102" s="73" t="s">
        <v>149</v>
      </c>
      <c r="C102" s="74">
        <f>C32</f>
        <v>470000</v>
      </c>
      <c r="D102" s="11"/>
      <c r="E102" s="11"/>
      <c r="F102" s="11"/>
      <c r="G102" s="11"/>
      <c r="H102" s="11"/>
      <c r="I102" s="11"/>
      <c r="J102" s="11"/>
      <c r="K102" s="11"/>
      <c r="L102" s="11"/>
      <c r="M102" s="11"/>
      <c r="N102" s="12"/>
      <c r="O102" s="12"/>
      <c r="P102" s="12"/>
      <c r="Q102" s="12"/>
      <c r="R102" s="12"/>
      <c r="S102" s="12"/>
      <c r="T102" s="12"/>
    </row>
    <row r="103" spans="1:20">
      <c r="A103" s="12"/>
      <c r="B103" s="165" t="s">
        <v>115</v>
      </c>
      <c r="C103" s="170">
        <v>0.7</v>
      </c>
      <c r="D103" s="11"/>
      <c r="E103" s="249" t="s">
        <v>148</v>
      </c>
      <c r="F103" s="250"/>
      <c r="G103" s="250"/>
      <c r="H103" s="251"/>
      <c r="I103" s="11"/>
      <c r="J103" s="11"/>
      <c r="K103" s="11"/>
      <c r="L103" s="11"/>
      <c r="M103" s="11"/>
      <c r="N103" s="12"/>
      <c r="O103" s="12"/>
      <c r="P103" s="12"/>
      <c r="Q103" s="12"/>
      <c r="R103" s="12"/>
      <c r="S103" s="12"/>
      <c r="T103" s="12"/>
    </row>
    <row r="104" spans="1:20">
      <c r="A104" s="12"/>
      <c r="B104" s="75" t="s">
        <v>150</v>
      </c>
      <c r="C104" s="76">
        <f>C102*C103</f>
        <v>329000</v>
      </c>
      <c r="D104" s="11"/>
      <c r="E104" s="252"/>
      <c r="F104" s="253"/>
      <c r="G104" s="253"/>
      <c r="H104" s="254"/>
      <c r="I104" s="11"/>
      <c r="J104" s="11"/>
      <c r="K104" s="11"/>
      <c r="L104" s="11"/>
      <c r="M104" s="11"/>
      <c r="N104" s="12"/>
      <c r="O104" s="12"/>
      <c r="P104" s="12"/>
      <c r="Q104" s="12"/>
      <c r="R104" s="12"/>
      <c r="S104" s="12"/>
      <c r="T104" s="12"/>
    </row>
    <row r="105" spans="1:20" ht="15.75" thickBot="1">
      <c r="A105" s="12"/>
      <c r="B105" s="75" t="s">
        <v>151</v>
      </c>
      <c r="C105" s="77">
        <v>0.11</v>
      </c>
      <c r="D105" s="11"/>
      <c r="E105" s="255"/>
      <c r="F105" s="256"/>
      <c r="G105" s="256"/>
      <c r="H105" s="257"/>
      <c r="I105" s="11"/>
      <c r="J105" s="11"/>
      <c r="K105" s="11"/>
      <c r="L105" s="11"/>
      <c r="M105" s="11"/>
      <c r="N105" s="12"/>
      <c r="O105" s="12"/>
      <c r="P105" s="12"/>
      <c r="Q105" s="12"/>
      <c r="R105" s="12"/>
      <c r="S105" s="12"/>
      <c r="T105" s="12"/>
    </row>
    <row r="106" spans="1:20">
      <c r="A106" s="12"/>
      <c r="B106" s="75" t="s">
        <v>152</v>
      </c>
      <c r="C106" s="78">
        <v>10</v>
      </c>
      <c r="D106" s="11"/>
      <c r="E106" s="11"/>
      <c r="F106" s="11"/>
      <c r="G106" s="11"/>
      <c r="H106" s="11"/>
      <c r="I106" s="11"/>
      <c r="J106" s="11"/>
      <c r="K106" s="11"/>
      <c r="L106" s="11"/>
      <c r="M106" s="11"/>
      <c r="N106" s="12"/>
      <c r="O106" s="12"/>
      <c r="P106" s="12"/>
      <c r="Q106" s="12"/>
      <c r="R106" s="12"/>
      <c r="S106" s="12"/>
      <c r="T106" s="12"/>
    </row>
    <row r="107" spans="1:20" ht="15.75" thickBot="1">
      <c r="A107" s="12"/>
      <c r="B107" s="79" t="s">
        <v>153</v>
      </c>
      <c r="C107" s="80">
        <f>PMT(C105,C106,C104)</f>
        <v>-55864.669515074318</v>
      </c>
      <c r="D107" s="11"/>
      <c r="E107" s="11"/>
      <c r="F107" s="11"/>
      <c r="G107" s="11"/>
      <c r="H107" s="11"/>
      <c r="I107" s="11"/>
      <c r="J107" s="11"/>
      <c r="K107" s="11"/>
      <c r="L107" s="11"/>
      <c r="M107" s="11"/>
      <c r="N107" s="12"/>
      <c r="O107" s="12"/>
      <c r="P107" s="12"/>
      <c r="Q107" s="12"/>
      <c r="R107" s="12"/>
      <c r="S107" s="12"/>
      <c r="T107" s="12"/>
    </row>
    <row r="108" spans="1:20">
      <c r="A108" s="12"/>
      <c r="B108" s="12"/>
      <c r="C108" s="11"/>
      <c r="D108" s="11"/>
      <c r="E108" s="11"/>
      <c r="F108" s="11"/>
      <c r="G108" s="11"/>
      <c r="H108" s="11"/>
      <c r="I108" s="11"/>
      <c r="J108" s="11"/>
      <c r="K108" s="11"/>
      <c r="L108" s="11"/>
      <c r="M108" s="11"/>
      <c r="N108" s="12"/>
      <c r="O108" s="12"/>
      <c r="P108" s="12"/>
      <c r="Q108" s="12"/>
      <c r="R108" s="12"/>
      <c r="S108" s="12"/>
      <c r="T108" s="12"/>
    </row>
    <row r="109" spans="1:20" ht="16.5" thickBot="1">
      <c r="A109" s="12"/>
      <c r="B109" s="166" t="s">
        <v>154</v>
      </c>
      <c r="C109" s="11"/>
      <c r="D109" s="11"/>
      <c r="E109" s="11"/>
      <c r="F109" s="11"/>
      <c r="G109" s="11"/>
      <c r="H109" s="11"/>
      <c r="I109" s="11"/>
      <c r="J109" s="11"/>
      <c r="K109" s="11"/>
      <c r="L109" s="11"/>
      <c r="M109" s="11"/>
      <c r="N109" s="12"/>
      <c r="O109" s="12"/>
      <c r="P109" s="12"/>
      <c r="Q109" s="12"/>
      <c r="R109" s="12"/>
      <c r="S109" s="12"/>
      <c r="T109" s="12"/>
    </row>
    <row r="110" spans="1:20" ht="31.5">
      <c r="A110" s="12"/>
      <c r="B110" s="81" t="s">
        <v>12</v>
      </c>
      <c r="C110" s="82" t="s">
        <v>52</v>
      </c>
      <c r="D110" s="111" t="s">
        <v>53</v>
      </c>
      <c r="E110" s="111" t="s">
        <v>54</v>
      </c>
      <c r="F110" s="83" t="s">
        <v>55</v>
      </c>
      <c r="G110" s="11"/>
      <c r="H110" s="11"/>
      <c r="I110" s="11"/>
      <c r="J110" s="11"/>
      <c r="K110" s="11"/>
      <c r="L110" s="84"/>
      <c r="M110" s="11"/>
      <c r="N110" s="12"/>
      <c r="O110" s="12"/>
      <c r="P110" s="12"/>
      <c r="Q110" s="12"/>
      <c r="R110" s="12"/>
      <c r="S110" s="12"/>
      <c r="T110" s="12"/>
    </row>
    <row r="111" spans="1:20" ht="15.75">
      <c r="A111" s="12"/>
      <c r="B111" s="85">
        <v>1</v>
      </c>
      <c r="C111" s="198">
        <f>+C104</f>
        <v>329000</v>
      </c>
      <c r="D111" s="199">
        <f>-$C$107</f>
        <v>55864.669515074318</v>
      </c>
      <c r="E111" s="200">
        <f t="shared" ref="E111:E120" si="20">$C$105*C111</f>
        <v>36190</v>
      </c>
      <c r="F111" s="201">
        <f>D111-E111</f>
        <v>19674.669515074318</v>
      </c>
      <c r="G111" s="11"/>
      <c r="H111" s="11"/>
      <c r="I111" s="11"/>
      <c r="J111" s="11"/>
      <c r="K111" s="11"/>
      <c r="L111" s="11"/>
      <c r="M111" s="11"/>
      <c r="N111" s="12"/>
      <c r="O111" s="12"/>
      <c r="P111" s="12"/>
      <c r="Q111" s="12"/>
      <c r="R111" s="12"/>
      <c r="S111" s="12"/>
      <c r="T111" s="12"/>
    </row>
    <row r="112" spans="1:20" ht="16.5" thickBot="1">
      <c r="A112" s="12"/>
      <c r="B112" s="85">
        <v>2</v>
      </c>
      <c r="C112" s="199">
        <f t="shared" ref="C112:C120" si="21">C111-F111</f>
        <v>309325.33048492565</v>
      </c>
      <c r="D112" s="199">
        <f t="shared" ref="D112:D120" si="22">-$C$107</f>
        <v>55864.669515074318</v>
      </c>
      <c r="E112" s="200">
        <f t="shared" si="20"/>
        <v>34025.78635334182</v>
      </c>
      <c r="F112" s="201">
        <f t="shared" ref="F112:F120" si="23">D112-E112</f>
        <v>21838.883161732498</v>
      </c>
      <c r="G112" s="11"/>
      <c r="H112" s="11"/>
      <c r="I112" s="11"/>
      <c r="J112" s="11"/>
      <c r="K112" s="11"/>
      <c r="L112" s="90"/>
      <c r="M112" s="11"/>
      <c r="N112" s="12"/>
      <c r="O112" s="12"/>
      <c r="P112" s="12"/>
      <c r="Q112" s="12"/>
      <c r="R112" s="12"/>
      <c r="S112" s="12"/>
      <c r="T112" s="12"/>
    </row>
    <row r="113" spans="1:20" ht="15.75">
      <c r="A113" s="12"/>
      <c r="B113" s="85">
        <v>3</v>
      </c>
      <c r="C113" s="199">
        <f t="shared" si="21"/>
        <v>287486.44732319313</v>
      </c>
      <c r="D113" s="199">
        <f t="shared" si="22"/>
        <v>55864.669515074318</v>
      </c>
      <c r="E113" s="200">
        <f t="shared" si="20"/>
        <v>31623.509205551243</v>
      </c>
      <c r="F113" s="201">
        <f t="shared" si="23"/>
        <v>24241.160309523075</v>
      </c>
      <c r="G113" s="11"/>
      <c r="H113" s="249" t="s">
        <v>155</v>
      </c>
      <c r="I113" s="250"/>
      <c r="J113" s="250"/>
      <c r="K113" s="250"/>
      <c r="L113" s="251"/>
      <c r="M113" s="11"/>
      <c r="N113" s="12"/>
      <c r="O113" s="12"/>
      <c r="P113" s="12"/>
      <c r="Q113" s="12"/>
      <c r="R113" s="12"/>
      <c r="S113" s="12"/>
      <c r="T113" s="12"/>
    </row>
    <row r="114" spans="1:20" ht="15.75">
      <c r="A114" s="12"/>
      <c r="B114" s="85">
        <v>4</v>
      </c>
      <c r="C114" s="199">
        <f t="shared" si="21"/>
        <v>263245.28701367008</v>
      </c>
      <c r="D114" s="199">
        <f t="shared" si="22"/>
        <v>55864.669515074318</v>
      </c>
      <c r="E114" s="200">
        <f t="shared" si="20"/>
        <v>28956.981571503708</v>
      </c>
      <c r="F114" s="201">
        <f t="shared" si="23"/>
        <v>26907.687943570611</v>
      </c>
      <c r="G114" s="11"/>
      <c r="H114" s="252"/>
      <c r="I114" s="253"/>
      <c r="J114" s="253"/>
      <c r="K114" s="253"/>
      <c r="L114" s="254"/>
      <c r="M114" s="11"/>
      <c r="N114" s="12"/>
      <c r="O114" s="12"/>
      <c r="P114" s="12"/>
      <c r="Q114" s="12"/>
      <c r="R114" s="12"/>
      <c r="S114" s="12"/>
      <c r="T114" s="12"/>
    </row>
    <row r="115" spans="1:20" ht="16.5" thickBot="1">
      <c r="A115" s="12"/>
      <c r="B115" s="85">
        <v>5</v>
      </c>
      <c r="C115" s="199">
        <f t="shared" si="21"/>
        <v>236337.59907009947</v>
      </c>
      <c r="D115" s="199">
        <f t="shared" si="22"/>
        <v>55864.669515074318</v>
      </c>
      <c r="E115" s="200">
        <f t="shared" si="20"/>
        <v>25997.135897710941</v>
      </c>
      <c r="F115" s="201">
        <f t="shared" si="23"/>
        <v>29867.533617363377</v>
      </c>
      <c r="G115" s="11"/>
      <c r="H115" s="255"/>
      <c r="I115" s="256"/>
      <c r="J115" s="256"/>
      <c r="K115" s="256"/>
      <c r="L115" s="257"/>
      <c r="M115" s="11"/>
      <c r="N115" s="12"/>
      <c r="O115" s="12"/>
      <c r="P115" s="12"/>
      <c r="Q115" s="12"/>
      <c r="R115" s="12"/>
      <c r="S115" s="12"/>
      <c r="T115" s="12"/>
    </row>
    <row r="116" spans="1:20" ht="15.75">
      <c r="A116" s="12"/>
      <c r="B116" s="85">
        <v>6</v>
      </c>
      <c r="C116" s="199">
        <f t="shared" si="21"/>
        <v>206470.0654527361</v>
      </c>
      <c r="D116" s="199">
        <f t="shared" si="22"/>
        <v>55864.669515074318</v>
      </c>
      <c r="E116" s="200">
        <f t="shared" si="20"/>
        <v>22711.707199800971</v>
      </c>
      <c r="F116" s="201">
        <f t="shared" si="23"/>
        <v>33152.962315273347</v>
      </c>
      <c r="G116" s="11"/>
      <c r="H116" s="11"/>
      <c r="I116" s="11"/>
      <c r="J116" s="11"/>
      <c r="K116" s="11"/>
      <c r="L116" s="92"/>
      <c r="M116" s="11"/>
      <c r="N116" s="12"/>
      <c r="O116" s="12"/>
      <c r="P116" s="12"/>
      <c r="Q116" s="12"/>
      <c r="R116" s="12"/>
      <c r="S116" s="12"/>
      <c r="T116" s="12"/>
    </row>
    <row r="117" spans="1:20" ht="15.75">
      <c r="B117" s="85">
        <v>7</v>
      </c>
      <c r="C117" s="199">
        <f t="shared" si="21"/>
        <v>173317.10313746275</v>
      </c>
      <c r="D117" s="199">
        <f t="shared" si="22"/>
        <v>55864.669515074318</v>
      </c>
      <c r="E117" s="200">
        <f t="shared" si="20"/>
        <v>19064.881345120903</v>
      </c>
      <c r="F117" s="201">
        <f t="shared" si="23"/>
        <v>36799.788169953419</v>
      </c>
    </row>
    <row r="118" spans="1:20" ht="15.75">
      <c r="B118" s="85">
        <v>8</v>
      </c>
      <c r="C118" s="199">
        <f t="shared" si="21"/>
        <v>136517.31496750933</v>
      </c>
      <c r="D118" s="199">
        <f t="shared" si="22"/>
        <v>55864.669515074318</v>
      </c>
      <c r="E118" s="200">
        <f t="shared" si="20"/>
        <v>15016.904646426026</v>
      </c>
      <c r="F118" s="201">
        <f t="shared" si="23"/>
        <v>40847.764868648293</v>
      </c>
    </row>
    <row r="119" spans="1:20" ht="15.75">
      <c r="B119" s="85">
        <v>9</v>
      </c>
      <c r="C119" s="199">
        <f t="shared" si="21"/>
        <v>95669.550098861044</v>
      </c>
      <c r="D119" s="199">
        <f t="shared" si="22"/>
        <v>55864.669515074318</v>
      </c>
      <c r="E119" s="200">
        <f t="shared" si="20"/>
        <v>10523.650510874715</v>
      </c>
      <c r="F119" s="201">
        <f t="shared" si="23"/>
        <v>45341.019004199603</v>
      </c>
    </row>
    <row r="120" spans="1:20" ht="16.5" thickBot="1">
      <c r="B120" s="219">
        <v>10</v>
      </c>
      <c r="C120" s="220">
        <f t="shared" si="21"/>
        <v>50328.531094661441</v>
      </c>
      <c r="D120" s="220">
        <f t="shared" si="22"/>
        <v>55864.669515074318</v>
      </c>
      <c r="E120" s="221">
        <f t="shared" si="20"/>
        <v>5536.1384204127589</v>
      </c>
      <c r="F120" s="222">
        <f t="shared" si="23"/>
        <v>50328.531094661557</v>
      </c>
    </row>
    <row r="121" spans="1:20">
      <c r="B121" s="218"/>
    </row>
    <row r="124" spans="1:20" ht="16.5" thickBot="1">
      <c r="B124" s="166" t="s">
        <v>156</v>
      </c>
    </row>
    <row r="125" spans="1:20">
      <c r="B125" s="44" t="s">
        <v>23</v>
      </c>
      <c r="C125" s="45">
        <v>1</v>
      </c>
      <c r="D125" s="45">
        <v>2</v>
      </c>
      <c r="E125" s="45">
        <v>3</v>
      </c>
      <c r="F125" s="45">
        <v>4</v>
      </c>
      <c r="G125" s="45">
        <v>5</v>
      </c>
      <c r="H125" s="45">
        <v>6</v>
      </c>
      <c r="I125" s="45">
        <v>7</v>
      </c>
      <c r="J125" s="45">
        <v>8</v>
      </c>
      <c r="K125" s="45">
        <v>9</v>
      </c>
      <c r="L125" s="46">
        <v>10</v>
      </c>
      <c r="M125" s="26"/>
      <c r="N125" s="12"/>
    </row>
    <row r="126" spans="1:20">
      <c r="B126" s="23" t="s">
        <v>24</v>
      </c>
      <c r="C126" s="33">
        <f t="shared" ref="C126:L126" si="24">C77</f>
        <v>240000</v>
      </c>
      <c r="D126" s="33">
        <f t="shared" si="24"/>
        <v>320000</v>
      </c>
      <c r="E126" s="33">
        <f t="shared" si="24"/>
        <v>400000</v>
      </c>
      <c r="F126" s="33">
        <f t="shared" si="24"/>
        <v>400000</v>
      </c>
      <c r="G126" s="33">
        <f t="shared" si="24"/>
        <v>400000</v>
      </c>
      <c r="H126" s="33">
        <f t="shared" si="24"/>
        <v>400000</v>
      </c>
      <c r="I126" s="33">
        <f t="shared" si="24"/>
        <v>400000</v>
      </c>
      <c r="J126" s="33">
        <f t="shared" si="24"/>
        <v>400000</v>
      </c>
      <c r="K126" s="33">
        <f t="shared" si="24"/>
        <v>400000</v>
      </c>
      <c r="L126" s="33">
        <f t="shared" si="24"/>
        <v>400000</v>
      </c>
      <c r="M126" s="37"/>
      <c r="N126" s="12"/>
    </row>
    <row r="127" spans="1:20" ht="15.75" thickBot="1">
      <c r="B127" s="23" t="s">
        <v>161</v>
      </c>
      <c r="C127" s="33">
        <f>C126*$C$41</f>
        <v>26400</v>
      </c>
      <c r="D127" s="33">
        <f t="shared" ref="D127:L127" si="25">D126*$C$41</f>
        <v>35200</v>
      </c>
      <c r="E127" s="33">
        <f t="shared" si="25"/>
        <v>44000</v>
      </c>
      <c r="F127" s="33">
        <f t="shared" si="25"/>
        <v>44000</v>
      </c>
      <c r="G127" s="33">
        <f t="shared" si="25"/>
        <v>44000</v>
      </c>
      <c r="H127" s="33">
        <f t="shared" si="25"/>
        <v>44000</v>
      </c>
      <c r="I127" s="33">
        <f t="shared" si="25"/>
        <v>44000</v>
      </c>
      <c r="J127" s="33">
        <f t="shared" si="25"/>
        <v>44000</v>
      </c>
      <c r="K127" s="33">
        <f t="shared" si="25"/>
        <v>44000</v>
      </c>
      <c r="L127" s="33">
        <f t="shared" si="25"/>
        <v>44000</v>
      </c>
      <c r="M127" s="37"/>
      <c r="N127" s="12"/>
    </row>
    <row r="128" spans="1:20">
      <c r="B128" s="47" t="s">
        <v>28</v>
      </c>
      <c r="C128" s="184">
        <f>C126 -C127</f>
        <v>213600</v>
      </c>
      <c r="D128" s="184">
        <f t="shared" ref="D128:L128" si="26">D126 -D127</f>
        <v>284800</v>
      </c>
      <c r="E128" s="184">
        <f t="shared" si="26"/>
        <v>356000</v>
      </c>
      <c r="F128" s="184">
        <f t="shared" si="26"/>
        <v>356000</v>
      </c>
      <c r="G128" s="184">
        <f t="shared" si="26"/>
        <v>356000</v>
      </c>
      <c r="H128" s="184">
        <f t="shared" si="26"/>
        <v>356000</v>
      </c>
      <c r="I128" s="184">
        <f t="shared" si="26"/>
        <v>356000</v>
      </c>
      <c r="J128" s="184">
        <f t="shared" si="26"/>
        <v>356000</v>
      </c>
      <c r="K128" s="184">
        <f t="shared" si="26"/>
        <v>356000</v>
      </c>
      <c r="L128" s="184">
        <f t="shared" si="26"/>
        <v>356000</v>
      </c>
      <c r="M128" s="49"/>
      <c r="N128" s="278" t="s">
        <v>118</v>
      </c>
      <c r="O128" s="279"/>
      <c r="P128" s="279"/>
      <c r="Q128" s="279"/>
      <c r="R128" s="280"/>
      <c r="S128" s="163"/>
    </row>
    <row r="129" spans="2:19">
      <c r="B129" s="47" t="s">
        <v>29</v>
      </c>
      <c r="C129" s="187">
        <f>SUM(C130:C131)</f>
        <v>105000</v>
      </c>
      <c r="D129" s="187">
        <f t="shared" ref="D129:L129" si="27">SUM(D130:D131)</f>
        <v>130000</v>
      </c>
      <c r="E129" s="187">
        <f t="shared" si="27"/>
        <v>155000</v>
      </c>
      <c r="F129" s="187">
        <f t="shared" si="27"/>
        <v>155000</v>
      </c>
      <c r="G129" s="187">
        <f t="shared" si="27"/>
        <v>155000</v>
      </c>
      <c r="H129" s="187">
        <f t="shared" si="27"/>
        <v>155000</v>
      </c>
      <c r="I129" s="187">
        <f t="shared" si="27"/>
        <v>155000</v>
      </c>
      <c r="J129" s="187">
        <f t="shared" si="27"/>
        <v>155000</v>
      </c>
      <c r="K129" s="187">
        <f t="shared" si="27"/>
        <v>155000</v>
      </c>
      <c r="L129" s="187">
        <f t="shared" si="27"/>
        <v>155000</v>
      </c>
      <c r="M129" s="49"/>
      <c r="N129" s="281"/>
      <c r="O129" s="282"/>
      <c r="P129" s="282"/>
      <c r="Q129" s="282"/>
      <c r="R129" s="283"/>
      <c r="S129" s="163"/>
    </row>
    <row r="130" spans="2:19">
      <c r="B130" s="23" t="s">
        <v>30</v>
      </c>
      <c r="C130" s="33">
        <f t="shared" ref="C130:L130" si="28">C81</f>
        <v>75000</v>
      </c>
      <c r="D130" s="33">
        <f t="shared" si="28"/>
        <v>100000</v>
      </c>
      <c r="E130" s="33">
        <f t="shared" si="28"/>
        <v>125000</v>
      </c>
      <c r="F130" s="33">
        <f t="shared" si="28"/>
        <v>125000</v>
      </c>
      <c r="G130" s="33">
        <f t="shared" si="28"/>
        <v>125000</v>
      </c>
      <c r="H130" s="33">
        <f t="shared" si="28"/>
        <v>125000</v>
      </c>
      <c r="I130" s="33">
        <f t="shared" si="28"/>
        <v>125000</v>
      </c>
      <c r="J130" s="33">
        <f t="shared" si="28"/>
        <v>125000</v>
      </c>
      <c r="K130" s="33">
        <f t="shared" si="28"/>
        <v>125000</v>
      </c>
      <c r="L130" s="33">
        <f t="shared" si="28"/>
        <v>125000</v>
      </c>
      <c r="M130" s="37"/>
      <c r="N130" s="281"/>
      <c r="O130" s="282"/>
      <c r="P130" s="282"/>
      <c r="Q130" s="282"/>
      <c r="R130" s="283"/>
      <c r="S130" s="163"/>
    </row>
    <row r="131" spans="2:19">
      <c r="B131" s="23" t="s">
        <v>31</v>
      </c>
      <c r="C131" s="33">
        <f t="shared" ref="C131:L131" si="29">C82</f>
        <v>30000</v>
      </c>
      <c r="D131" s="33">
        <f t="shared" si="29"/>
        <v>30000</v>
      </c>
      <c r="E131" s="33">
        <f t="shared" si="29"/>
        <v>30000</v>
      </c>
      <c r="F131" s="33">
        <f t="shared" si="29"/>
        <v>30000</v>
      </c>
      <c r="G131" s="33">
        <f t="shared" si="29"/>
        <v>30000</v>
      </c>
      <c r="H131" s="33">
        <f t="shared" si="29"/>
        <v>30000</v>
      </c>
      <c r="I131" s="33">
        <f t="shared" si="29"/>
        <v>30000</v>
      </c>
      <c r="J131" s="33">
        <f t="shared" si="29"/>
        <v>30000</v>
      </c>
      <c r="K131" s="33">
        <f t="shared" si="29"/>
        <v>30000</v>
      </c>
      <c r="L131" s="33">
        <f t="shared" si="29"/>
        <v>30000</v>
      </c>
      <c r="M131" s="37"/>
      <c r="N131" s="281"/>
      <c r="O131" s="282"/>
      <c r="P131" s="282"/>
      <c r="Q131" s="282"/>
      <c r="R131" s="283"/>
      <c r="S131" s="163"/>
    </row>
    <row r="132" spans="2:19" ht="15.75" thickBot="1">
      <c r="B132" s="47" t="s">
        <v>32</v>
      </c>
      <c r="C132" s="217">
        <f>C133+C134</f>
        <v>69790</v>
      </c>
      <c r="D132" s="217">
        <f t="shared" ref="D132:L132" si="30">D133+D134</f>
        <v>67625.786353341828</v>
      </c>
      <c r="E132" s="217">
        <f t="shared" si="30"/>
        <v>65223.509205551243</v>
      </c>
      <c r="F132" s="217">
        <f t="shared" si="30"/>
        <v>62556.981571503711</v>
      </c>
      <c r="G132" s="217">
        <f t="shared" si="30"/>
        <v>59597.135897710941</v>
      </c>
      <c r="H132" s="217">
        <f t="shared" si="30"/>
        <v>56311.707199800971</v>
      </c>
      <c r="I132" s="217">
        <f t="shared" si="30"/>
        <v>52664.881345120899</v>
      </c>
      <c r="J132" s="217">
        <f t="shared" si="30"/>
        <v>48616.904646426025</v>
      </c>
      <c r="K132" s="217">
        <f t="shared" si="30"/>
        <v>44123.650510874715</v>
      </c>
      <c r="L132" s="217">
        <f t="shared" si="30"/>
        <v>39136.138420412761</v>
      </c>
      <c r="M132" s="49"/>
      <c r="N132" s="284"/>
      <c r="O132" s="285"/>
      <c r="P132" s="285"/>
      <c r="Q132" s="285"/>
      <c r="R132" s="286"/>
    </row>
    <row r="133" spans="2:19">
      <c r="B133" s="23" t="s">
        <v>33</v>
      </c>
      <c r="C133" s="33">
        <f t="shared" ref="C133:L133" si="31">C84</f>
        <v>33600</v>
      </c>
      <c r="D133" s="33">
        <f t="shared" si="31"/>
        <v>33600</v>
      </c>
      <c r="E133" s="33">
        <f t="shared" si="31"/>
        <v>33600</v>
      </c>
      <c r="F133" s="33">
        <f t="shared" si="31"/>
        <v>33600</v>
      </c>
      <c r="G133" s="33">
        <f t="shared" si="31"/>
        <v>33600</v>
      </c>
      <c r="H133" s="33">
        <f t="shared" si="31"/>
        <v>33600</v>
      </c>
      <c r="I133" s="33">
        <f t="shared" si="31"/>
        <v>33600</v>
      </c>
      <c r="J133" s="33">
        <f t="shared" si="31"/>
        <v>33600</v>
      </c>
      <c r="K133" s="33">
        <f t="shared" si="31"/>
        <v>33600</v>
      </c>
      <c r="L133" s="33">
        <f t="shared" si="31"/>
        <v>33600</v>
      </c>
      <c r="M133" s="37"/>
      <c r="N133" s="12"/>
    </row>
    <row r="134" spans="2:19">
      <c r="B134" s="23" t="s">
        <v>57</v>
      </c>
      <c r="C134" s="33">
        <f>E111</f>
        <v>36190</v>
      </c>
      <c r="D134" s="33">
        <f>E112</f>
        <v>34025.78635334182</v>
      </c>
      <c r="E134" s="33">
        <f>E113</f>
        <v>31623.509205551243</v>
      </c>
      <c r="F134" s="33">
        <f>E114</f>
        <v>28956.981571503708</v>
      </c>
      <c r="G134" s="33">
        <f>E115</f>
        <v>25997.135897710941</v>
      </c>
      <c r="H134" s="33">
        <f>E116</f>
        <v>22711.707199800971</v>
      </c>
      <c r="I134" s="33">
        <f>E117</f>
        <v>19064.881345120903</v>
      </c>
      <c r="J134" s="33">
        <f>E118</f>
        <v>15016.904646426026</v>
      </c>
      <c r="K134" s="33">
        <f>E119</f>
        <v>10523.650510874715</v>
      </c>
      <c r="L134" s="33">
        <f>E120</f>
        <v>5536.1384204127589</v>
      </c>
      <c r="M134" s="37"/>
      <c r="N134" s="12"/>
    </row>
    <row r="135" spans="2:19" ht="15.75" thickBot="1">
      <c r="B135" s="160" t="s">
        <v>34</v>
      </c>
      <c r="C135" s="161">
        <f>C128-(C129+C132)</f>
        <v>38810</v>
      </c>
      <c r="D135" s="161">
        <f t="shared" ref="D135:L135" si="32">D128-(D129+D132)</f>
        <v>87174.213646658172</v>
      </c>
      <c r="E135" s="161">
        <f t="shared" si="32"/>
        <v>135776.49079444876</v>
      </c>
      <c r="F135" s="161">
        <f t="shared" si="32"/>
        <v>138443.01842849629</v>
      </c>
      <c r="G135" s="161">
        <f t="shared" si="32"/>
        <v>141402.86410228905</v>
      </c>
      <c r="H135" s="161">
        <f t="shared" si="32"/>
        <v>144688.29280019904</v>
      </c>
      <c r="I135" s="161">
        <f t="shared" si="32"/>
        <v>148335.1186548791</v>
      </c>
      <c r="J135" s="161">
        <f t="shared" si="32"/>
        <v>152383.09535357397</v>
      </c>
      <c r="K135" s="161">
        <f t="shared" si="32"/>
        <v>156876.34948912528</v>
      </c>
      <c r="L135" s="161">
        <f t="shared" si="32"/>
        <v>161863.86157958725</v>
      </c>
      <c r="M135" s="37"/>
      <c r="N135" s="12"/>
    </row>
    <row r="136" spans="2:19" ht="15.75" thickBot="1">
      <c r="B136" s="171" t="s">
        <v>113</v>
      </c>
      <c r="C136" s="191">
        <f>$C$42*C135</f>
        <v>8538.2000000000007</v>
      </c>
      <c r="D136" s="191">
        <f t="shared" ref="D136:L136" si="33">$C$42*D135</f>
        <v>19178.327002264799</v>
      </c>
      <c r="E136" s="191">
        <f t="shared" si="33"/>
        <v>29870.827974778727</v>
      </c>
      <c r="F136" s="191">
        <f t="shared" si="33"/>
        <v>30457.464054269185</v>
      </c>
      <c r="G136" s="191">
        <f t="shared" si="33"/>
        <v>31108.63010250359</v>
      </c>
      <c r="H136" s="191">
        <f t="shared" si="33"/>
        <v>31831.424416043788</v>
      </c>
      <c r="I136" s="191">
        <f t="shared" si="33"/>
        <v>32633.726104073401</v>
      </c>
      <c r="J136" s="191">
        <f t="shared" si="33"/>
        <v>33524.280977786271</v>
      </c>
      <c r="K136" s="191">
        <f t="shared" si="33"/>
        <v>34512.796887607561</v>
      </c>
      <c r="L136" s="191">
        <f t="shared" si="33"/>
        <v>35610.049547509196</v>
      </c>
      <c r="M136" s="49"/>
      <c r="N136" s="12"/>
    </row>
    <row r="137" spans="2:19">
      <c r="B137" s="12"/>
      <c r="C137" s="11"/>
      <c r="D137" s="11"/>
      <c r="E137" s="11"/>
      <c r="F137" s="11"/>
      <c r="G137" s="11"/>
      <c r="H137" s="11"/>
      <c r="I137" s="11"/>
      <c r="J137" s="11"/>
      <c r="K137" s="11"/>
      <c r="L137" s="11"/>
      <c r="M137" s="11"/>
      <c r="N137" s="12"/>
    </row>
    <row r="138" spans="2:19" ht="16.5" thickBot="1">
      <c r="B138" s="167" t="s">
        <v>157</v>
      </c>
    </row>
    <row r="139" spans="2:19">
      <c r="B139" s="55" t="s">
        <v>12</v>
      </c>
      <c r="C139" s="56">
        <v>0</v>
      </c>
      <c r="D139" s="56">
        <v>1</v>
      </c>
      <c r="E139" s="56">
        <v>2</v>
      </c>
      <c r="F139" s="56">
        <v>3</v>
      </c>
      <c r="G139" s="56">
        <v>4</v>
      </c>
      <c r="H139" s="56">
        <v>5</v>
      </c>
      <c r="I139" s="56">
        <v>6</v>
      </c>
      <c r="J139" s="56">
        <v>7</v>
      </c>
      <c r="K139" s="56">
        <v>8</v>
      </c>
      <c r="L139" s="56">
        <v>9</v>
      </c>
      <c r="M139" s="57">
        <v>10</v>
      </c>
      <c r="N139" s="210"/>
    </row>
    <row r="140" spans="2:19">
      <c r="B140" s="59" t="s">
        <v>37</v>
      </c>
      <c r="C140" s="181">
        <f>C90</f>
        <v>-470000</v>
      </c>
      <c r="D140" s="60"/>
      <c r="E140" s="60"/>
      <c r="F140" s="60"/>
      <c r="G140" s="60"/>
      <c r="H140" s="60"/>
      <c r="I140" s="60"/>
      <c r="J140" s="60"/>
      <c r="K140" s="60"/>
      <c r="L140" s="60"/>
      <c r="M140" s="224"/>
      <c r="N140" s="211"/>
    </row>
    <row r="141" spans="2:19">
      <c r="B141" s="59" t="s">
        <v>117</v>
      </c>
      <c r="C141" s="60"/>
      <c r="D141" s="183">
        <f>-$F$73</f>
        <v>-28500</v>
      </c>
      <c r="E141" s="60"/>
      <c r="F141" s="60"/>
      <c r="G141" s="60"/>
      <c r="H141" s="60"/>
      <c r="I141" s="60"/>
      <c r="J141" s="60"/>
      <c r="K141" s="60"/>
      <c r="L141" s="60"/>
      <c r="M141" s="224">
        <f>+$F$73</f>
        <v>28500</v>
      </c>
      <c r="N141" s="211"/>
    </row>
    <row r="142" spans="2:19">
      <c r="B142" s="59" t="s">
        <v>38</v>
      </c>
      <c r="C142" s="60"/>
      <c r="D142" s="185">
        <f t="shared" ref="D142:M142" si="34">D92</f>
        <v>213600</v>
      </c>
      <c r="E142" s="185">
        <f t="shared" si="34"/>
        <v>284800</v>
      </c>
      <c r="F142" s="185">
        <f t="shared" si="34"/>
        <v>356000</v>
      </c>
      <c r="G142" s="185">
        <f t="shared" si="34"/>
        <v>356000</v>
      </c>
      <c r="H142" s="185">
        <f t="shared" si="34"/>
        <v>356000</v>
      </c>
      <c r="I142" s="185">
        <f t="shared" si="34"/>
        <v>356000</v>
      </c>
      <c r="J142" s="185">
        <f t="shared" si="34"/>
        <v>356000</v>
      </c>
      <c r="K142" s="185">
        <f t="shared" si="34"/>
        <v>356000</v>
      </c>
      <c r="L142" s="185">
        <f t="shared" si="34"/>
        <v>356000</v>
      </c>
      <c r="M142" s="186">
        <f t="shared" si="34"/>
        <v>356000</v>
      </c>
      <c r="N142" s="51"/>
    </row>
    <row r="143" spans="2:19">
      <c r="B143" s="59" t="s">
        <v>39</v>
      </c>
      <c r="C143" s="60"/>
      <c r="D143" s="195">
        <f t="shared" ref="D143:M143" si="35">D93</f>
        <v>-105000</v>
      </c>
      <c r="E143" s="195">
        <f t="shared" si="35"/>
        <v>-130000</v>
      </c>
      <c r="F143" s="195">
        <f t="shared" si="35"/>
        <v>-155000</v>
      </c>
      <c r="G143" s="195">
        <f t="shared" si="35"/>
        <v>-155000</v>
      </c>
      <c r="H143" s="195">
        <f t="shared" si="35"/>
        <v>-155000</v>
      </c>
      <c r="I143" s="195">
        <f t="shared" si="35"/>
        <v>-155000</v>
      </c>
      <c r="J143" s="195">
        <f t="shared" si="35"/>
        <v>-155000</v>
      </c>
      <c r="K143" s="195">
        <f t="shared" si="35"/>
        <v>-155000</v>
      </c>
      <c r="L143" s="195">
        <f t="shared" si="35"/>
        <v>-155000</v>
      </c>
      <c r="M143" s="225">
        <f t="shared" si="35"/>
        <v>-155000</v>
      </c>
      <c r="N143" s="51"/>
    </row>
    <row r="144" spans="2:19">
      <c r="B144" s="59" t="s">
        <v>112</v>
      </c>
      <c r="C144" s="60"/>
      <c r="D144" s="193">
        <f>-C136</f>
        <v>-8538.2000000000007</v>
      </c>
      <c r="E144" s="193">
        <f t="shared" ref="E144:L144" si="36">-D136</f>
        <v>-19178.327002264799</v>
      </c>
      <c r="F144" s="193">
        <f t="shared" si="36"/>
        <v>-29870.827974778727</v>
      </c>
      <c r="G144" s="193">
        <f t="shared" si="36"/>
        <v>-30457.464054269185</v>
      </c>
      <c r="H144" s="193">
        <f t="shared" si="36"/>
        <v>-31108.63010250359</v>
      </c>
      <c r="I144" s="193">
        <f t="shared" si="36"/>
        <v>-31831.424416043788</v>
      </c>
      <c r="J144" s="193">
        <f t="shared" si="36"/>
        <v>-32633.726104073401</v>
      </c>
      <c r="K144" s="193">
        <f t="shared" si="36"/>
        <v>-33524.280977786271</v>
      </c>
      <c r="L144" s="193">
        <f t="shared" si="36"/>
        <v>-34512.796887607561</v>
      </c>
      <c r="M144" s="213">
        <f>-L136</f>
        <v>-35610.049547509196</v>
      </c>
      <c r="N144" s="51"/>
    </row>
    <row r="145" spans="2:14" ht="15.75" thickBot="1">
      <c r="B145" s="95" t="s">
        <v>41</v>
      </c>
      <c r="C145" s="155"/>
      <c r="D145" s="155"/>
      <c r="E145" s="155"/>
      <c r="F145" s="155"/>
      <c r="G145" s="155"/>
      <c r="H145" s="155"/>
      <c r="I145" s="155"/>
      <c r="J145" s="155"/>
      <c r="K145" s="155"/>
      <c r="L145" s="155"/>
      <c r="M145" s="194">
        <f>M95</f>
        <v>157000</v>
      </c>
      <c r="N145" s="51"/>
    </row>
    <row r="146" spans="2:14" ht="15.75" thickBot="1">
      <c r="B146" s="226" t="s">
        <v>42</v>
      </c>
      <c r="C146" s="202">
        <f t="shared" ref="C146:M146" si="37">SUM(C140:C145)</f>
        <v>-470000</v>
      </c>
      <c r="D146" s="202">
        <f t="shared" si="37"/>
        <v>71561.8</v>
      </c>
      <c r="E146" s="202">
        <f t="shared" si="37"/>
        <v>135621.67299773521</v>
      </c>
      <c r="F146" s="202">
        <f t="shared" si="37"/>
        <v>171129.17202522128</v>
      </c>
      <c r="G146" s="202">
        <f t="shared" si="37"/>
        <v>170542.53594573081</v>
      </c>
      <c r="H146" s="202">
        <f t="shared" si="37"/>
        <v>169891.36989749642</v>
      </c>
      <c r="I146" s="202">
        <f t="shared" si="37"/>
        <v>169168.5755839562</v>
      </c>
      <c r="J146" s="202">
        <f t="shared" si="37"/>
        <v>168366.2738959266</v>
      </c>
      <c r="K146" s="202">
        <f t="shared" si="37"/>
        <v>167475.71902221371</v>
      </c>
      <c r="L146" s="202">
        <f t="shared" si="37"/>
        <v>166487.20311239245</v>
      </c>
      <c r="M146" s="227">
        <f t="shared" si="37"/>
        <v>350889.95045249083</v>
      </c>
      <c r="N146" s="223"/>
    </row>
    <row r="147" spans="2:14">
      <c r="B147" s="156" t="s">
        <v>59</v>
      </c>
      <c r="C147" s="157">
        <f>C104</f>
        <v>329000</v>
      </c>
      <c r="D147" s="157"/>
      <c r="E147" s="157"/>
      <c r="F147" s="157"/>
      <c r="G147" s="157"/>
      <c r="H147" s="157"/>
      <c r="I147" s="157"/>
      <c r="J147" s="157"/>
      <c r="K147" s="157"/>
      <c r="L147" s="157"/>
      <c r="M147" s="228"/>
      <c r="N147" s="51"/>
    </row>
    <row r="148" spans="2:14">
      <c r="B148" s="95" t="s">
        <v>55</v>
      </c>
      <c r="C148" s="60"/>
      <c r="D148" s="196">
        <f>-F111</f>
        <v>-19674.669515074318</v>
      </c>
      <c r="E148" s="196">
        <f>-F112</f>
        <v>-21838.883161732498</v>
      </c>
      <c r="F148" s="196">
        <f>-F113</f>
        <v>-24241.160309523075</v>
      </c>
      <c r="G148" s="196">
        <f>-F114</f>
        <v>-26907.687943570611</v>
      </c>
      <c r="H148" s="196">
        <f>-F115</f>
        <v>-29867.533617363377</v>
      </c>
      <c r="I148" s="196">
        <f>-F116</f>
        <v>-33152.962315273347</v>
      </c>
      <c r="J148" s="196">
        <f>-F117</f>
        <v>-36799.788169953419</v>
      </c>
      <c r="K148" s="196">
        <f>-F118</f>
        <v>-40847.764868648293</v>
      </c>
      <c r="L148" s="196">
        <f>-F119</f>
        <v>-45341.019004199603</v>
      </c>
      <c r="M148" s="229">
        <f>-F120</f>
        <v>-50328.531094661557</v>
      </c>
      <c r="N148" s="51"/>
    </row>
    <row r="149" spans="2:14">
      <c r="B149" s="59" t="s">
        <v>57</v>
      </c>
      <c r="C149" s="60"/>
      <c r="D149" s="197">
        <f>-E111</f>
        <v>-36190</v>
      </c>
      <c r="E149" s="197">
        <f>-E112</f>
        <v>-34025.78635334182</v>
      </c>
      <c r="F149" s="197">
        <f>-E113</f>
        <v>-31623.509205551243</v>
      </c>
      <c r="G149" s="197">
        <f>-E114</f>
        <v>-28956.981571503708</v>
      </c>
      <c r="H149" s="197">
        <f>-E115</f>
        <v>-25997.135897710941</v>
      </c>
      <c r="I149" s="197">
        <f>-E116</f>
        <v>-22711.707199800971</v>
      </c>
      <c r="J149" s="197">
        <f>-E117</f>
        <v>-19064.881345120903</v>
      </c>
      <c r="K149" s="197">
        <f>-E118</f>
        <v>-15016.904646426026</v>
      </c>
      <c r="L149" s="197">
        <f>-E119</f>
        <v>-10523.650510874715</v>
      </c>
      <c r="M149" s="230">
        <f>-E120</f>
        <v>-5536.1384204127589</v>
      </c>
      <c r="N149" s="51"/>
    </row>
    <row r="150" spans="2:14" ht="15.75" thickBot="1">
      <c r="B150" s="154" t="s">
        <v>110</v>
      </c>
      <c r="C150" s="231">
        <f>SUM(C146:C149)</f>
        <v>-141000</v>
      </c>
      <c r="D150" s="231">
        <f t="shared" ref="D150:M150" si="38">SUM(D146:D149)</f>
        <v>15697.130484925685</v>
      </c>
      <c r="E150" s="231">
        <f t="shared" si="38"/>
        <v>79757.00348266089</v>
      </c>
      <c r="F150" s="231">
        <f t="shared" si="38"/>
        <v>115264.50251014697</v>
      </c>
      <c r="G150" s="231">
        <f t="shared" si="38"/>
        <v>114677.86643065649</v>
      </c>
      <c r="H150" s="231">
        <f t="shared" si="38"/>
        <v>114026.7003824221</v>
      </c>
      <c r="I150" s="231">
        <f t="shared" si="38"/>
        <v>113303.90606888189</v>
      </c>
      <c r="J150" s="231">
        <f t="shared" si="38"/>
        <v>112501.60438085228</v>
      </c>
      <c r="K150" s="231">
        <f t="shared" si="38"/>
        <v>111611.0495071394</v>
      </c>
      <c r="L150" s="231">
        <f t="shared" si="38"/>
        <v>110622.53359731814</v>
      </c>
      <c r="M150" s="232">
        <f t="shared" si="38"/>
        <v>295025.28093741648</v>
      </c>
      <c r="N150" s="51"/>
    </row>
    <row r="151" spans="2:14">
      <c r="C151" s="97"/>
      <c r="D151" s="97"/>
      <c r="E151" s="97"/>
      <c r="F151" s="97"/>
      <c r="G151" s="97"/>
      <c r="H151" s="97"/>
      <c r="I151" s="97"/>
      <c r="J151" s="97"/>
      <c r="K151" s="97"/>
      <c r="L151" s="97"/>
      <c r="M151" s="97"/>
    </row>
    <row r="153" spans="2:14" ht="42" customHeight="1">
      <c r="B153" s="234" t="s">
        <v>159</v>
      </c>
      <c r="C153" s="235"/>
      <c r="D153" s="235"/>
      <c r="E153" s="235"/>
      <c r="F153" s="203"/>
    </row>
    <row r="154" spans="2:14" ht="20.25" customHeight="1">
      <c r="B154" s="203"/>
      <c r="C154" s="203"/>
      <c r="D154" s="203"/>
      <c r="E154" s="203"/>
      <c r="F154" s="203"/>
    </row>
    <row r="155" spans="2:14" ht="20.25" customHeight="1">
      <c r="D155" s="203"/>
      <c r="E155" s="203"/>
    </row>
  </sheetData>
  <mergeCells count="25">
    <mergeCell ref="H71:M73"/>
    <mergeCell ref="A76:A86"/>
    <mergeCell ref="A89:A96"/>
    <mergeCell ref="N128:R132"/>
    <mergeCell ref="H113:L115"/>
    <mergeCell ref="O96:R96"/>
    <mergeCell ref="N79:R80"/>
    <mergeCell ref="E103:H105"/>
    <mergeCell ref="N81:R84"/>
    <mergeCell ref="O91:Q94"/>
    <mergeCell ref="B4:H22"/>
    <mergeCell ref="F38:J41"/>
    <mergeCell ref="F54:J57"/>
    <mergeCell ref="I62:M66"/>
    <mergeCell ref="F60:G60"/>
    <mergeCell ref="F25:J27"/>
    <mergeCell ref="B34:C34"/>
    <mergeCell ref="B153:E153"/>
    <mergeCell ref="A70:A73"/>
    <mergeCell ref="B70:C70"/>
    <mergeCell ref="B24:D24"/>
    <mergeCell ref="A25:A31"/>
    <mergeCell ref="A37:A40"/>
    <mergeCell ref="A46:A51"/>
    <mergeCell ref="A60:A6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4:M103"/>
  <sheetViews>
    <sheetView zoomScale="85" zoomScaleNormal="85" workbookViewId="0">
      <selection activeCell="K92" sqref="K92"/>
    </sheetView>
  </sheetViews>
  <sheetFormatPr baseColWidth="10" defaultRowHeight="15"/>
  <cols>
    <col min="1" max="1" width="44.28515625" customWidth="1"/>
    <col min="2" max="2" width="16" customWidth="1"/>
    <col min="3" max="3" width="12.42578125" customWidth="1"/>
    <col min="4" max="4" width="12.85546875" customWidth="1"/>
    <col min="5" max="5" width="18.5703125" customWidth="1"/>
    <col min="6" max="6" width="12.7109375" customWidth="1"/>
    <col min="7" max="7" width="12.28515625" customWidth="1"/>
    <col min="8" max="8" width="20" customWidth="1"/>
    <col min="9" max="9" width="12.85546875" customWidth="1"/>
    <col min="10" max="10" width="13.7109375" customWidth="1"/>
    <col min="11" max="11" width="12.42578125" customWidth="1"/>
  </cols>
  <sheetData>
    <row r="4" spans="1:13" ht="18.75" thickBot="1">
      <c r="A4" s="3" t="s">
        <v>45</v>
      </c>
      <c r="B4" s="11"/>
      <c r="C4" s="11"/>
      <c r="D4" s="11"/>
      <c r="E4" s="11"/>
      <c r="F4" s="11"/>
      <c r="G4" s="11"/>
      <c r="H4" s="11"/>
      <c r="I4" s="11"/>
      <c r="J4" s="11"/>
      <c r="K4" s="11"/>
      <c r="L4" s="11"/>
      <c r="M4" s="12"/>
    </row>
    <row r="5" spans="1:13">
      <c r="A5" s="73" t="s">
        <v>46</v>
      </c>
      <c r="B5" s="74">
        <f>(1+B72)*(470000)</f>
        <v>470000</v>
      </c>
      <c r="C5" s="11"/>
      <c r="D5" s="11"/>
      <c r="E5" s="11"/>
      <c r="F5" s="11"/>
      <c r="G5" s="11"/>
      <c r="H5" s="11"/>
      <c r="I5" s="11"/>
      <c r="J5" s="11"/>
      <c r="K5" s="11"/>
      <c r="L5" s="11"/>
      <c r="M5" s="12"/>
    </row>
    <row r="6" spans="1:13">
      <c r="A6" s="75" t="s">
        <v>47</v>
      </c>
      <c r="B6" s="76">
        <v>330000</v>
      </c>
      <c r="C6" s="11"/>
      <c r="D6" s="11"/>
      <c r="E6" s="11"/>
      <c r="F6" s="11"/>
      <c r="G6" s="11"/>
      <c r="H6" s="11"/>
      <c r="I6" s="11"/>
      <c r="J6" s="11"/>
      <c r="K6" s="11"/>
      <c r="L6" s="11"/>
      <c r="M6" s="12"/>
    </row>
    <row r="7" spans="1:13">
      <c r="A7" s="75" t="s">
        <v>48</v>
      </c>
      <c r="B7" s="77">
        <f>(1+B76)*11%</f>
        <v>0.11</v>
      </c>
      <c r="C7" s="11"/>
      <c r="D7" s="11"/>
      <c r="E7" s="11"/>
      <c r="F7" s="11"/>
      <c r="G7" s="11"/>
      <c r="H7" s="11"/>
      <c r="I7" s="11"/>
      <c r="J7" s="11"/>
      <c r="K7" s="11"/>
      <c r="L7" s="11"/>
      <c r="M7" s="12"/>
    </row>
    <row r="8" spans="1:13">
      <c r="A8" s="75" t="s">
        <v>49</v>
      </c>
      <c r="B8" s="78">
        <v>10</v>
      </c>
      <c r="C8" s="11"/>
      <c r="D8" s="11"/>
      <c r="E8" s="11"/>
      <c r="F8" s="11"/>
      <c r="G8" s="11"/>
      <c r="H8" s="11"/>
      <c r="I8" s="11"/>
      <c r="J8" s="11"/>
      <c r="K8" s="11"/>
      <c r="L8" s="11"/>
      <c r="M8" s="12"/>
    </row>
    <row r="9" spans="1:13" ht="15.75" thickBot="1">
      <c r="A9" s="79" t="s">
        <v>50</v>
      </c>
      <c r="B9" s="80">
        <f>PMT(B7,B8,B6)</f>
        <v>-56034.470942171807</v>
      </c>
      <c r="C9" s="11"/>
      <c r="D9" s="11"/>
      <c r="E9" s="11"/>
      <c r="F9" s="11"/>
      <c r="G9" s="11"/>
      <c r="H9" s="11"/>
      <c r="I9" s="11"/>
      <c r="J9" s="11"/>
      <c r="K9" s="11"/>
      <c r="L9" s="11"/>
      <c r="M9" s="12"/>
    </row>
    <row r="10" spans="1:13">
      <c r="A10" s="12"/>
      <c r="B10" s="11"/>
      <c r="C10" s="11"/>
      <c r="D10" s="11"/>
      <c r="E10" s="11"/>
      <c r="F10" s="11"/>
      <c r="G10" s="11"/>
      <c r="H10" s="11"/>
      <c r="I10" s="11"/>
      <c r="J10" s="11"/>
      <c r="K10" s="11"/>
      <c r="L10" s="11"/>
      <c r="M10" s="12"/>
    </row>
    <row r="11" spans="1:13" ht="18.75" thickBot="1">
      <c r="A11" s="3" t="s">
        <v>51</v>
      </c>
      <c r="B11" s="11"/>
      <c r="C11" s="11"/>
      <c r="D11" s="11"/>
      <c r="E11" s="11"/>
      <c r="F11" s="11"/>
      <c r="G11" s="11"/>
      <c r="H11" s="11"/>
      <c r="I11" s="11"/>
      <c r="J11" s="11"/>
      <c r="K11" s="11"/>
      <c r="L11" s="11"/>
      <c r="M11" s="12"/>
    </row>
    <row r="12" spans="1:13" ht="31.5">
      <c r="A12" s="81" t="s">
        <v>12</v>
      </c>
      <c r="B12" s="82" t="s">
        <v>52</v>
      </c>
      <c r="C12" s="111" t="s">
        <v>53</v>
      </c>
      <c r="D12" s="111" t="s">
        <v>54</v>
      </c>
      <c r="E12" s="83" t="s">
        <v>55</v>
      </c>
      <c r="F12" s="11"/>
      <c r="G12" s="11"/>
      <c r="H12" s="11"/>
      <c r="I12" s="11"/>
      <c r="J12" s="11"/>
      <c r="K12" s="84"/>
      <c r="L12" s="11"/>
      <c r="M12" s="12"/>
    </row>
    <row r="13" spans="1:13" ht="15.75">
      <c r="A13" s="85">
        <v>1</v>
      </c>
      <c r="B13" s="86">
        <v>330000</v>
      </c>
      <c r="C13" s="87">
        <f>-B$9</f>
        <v>56034.470942171807</v>
      </c>
      <c r="D13" s="88">
        <f>B13*B$7</f>
        <v>36300</v>
      </c>
      <c r="E13" s="89">
        <f>C13-D13</f>
        <v>19734.470942171807</v>
      </c>
      <c r="F13" s="11"/>
      <c r="G13" s="11"/>
      <c r="H13" s="11"/>
      <c r="I13" s="11"/>
      <c r="J13" s="11"/>
      <c r="K13" s="11"/>
      <c r="L13" s="11"/>
      <c r="M13" s="12"/>
    </row>
    <row r="14" spans="1:13" ht="15.75">
      <c r="A14" s="85">
        <v>2</v>
      </c>
      <c r="B14" s="87">
        <f>B13-E13</f>
        <v>310265.52905782819</v>
      </c>
      <c r="C14" s="87">
        <f t="shared" ref="C14:C22" si="0">-B$9</f>
        <v>56034.470942171807</v>
      </c>
      <c r="D14" s="88">
        <f t="shared" ref="D14:D22" si="1">B14*B$7</f>
        <v>34129.208196361098</v>
      </c>
      <c r="E14" s="89">
        <f t="shared" ref="E14:E22" si="2">C14-D14</f>
        <v>21905.262745810709</v>
      </c>
      <c r="F14" s="11"/>
      <c r="G14" s="11"/>
      <c r="H14" s="11"/>
      <c r="I14" s="11"/>
      <c r="J14" s="11"/>
      <c r="K14" s="90"/>
      <c r="L14" s="11"/>
      <c r="M14" s="12"/>
    </row>
    <row r="15" spans="1:13" ht="15.75">
      <c r="A15" s="85">
        <v>3</v>
      </c>
      <c r="B15" s="87">
        <f t="shared" ref="B15:B22" si="3">B14-E14</f>
        <v>288360.26631201745</v>
      </c>
      <c r="C15" s="87">
        <f t="shared" si="0"/>
        <v>56034.470942171807</v>
      </c>
      <c r="D15" s="88">
        <f t="shared" si="1"/>
        <v>31719.62929432192</v>
      </c>
      <c r="E15" s="89">
        <f t="shared" si="2"/>
        <v>24314.841647849888</v>
      </c>
      <c r="F15" s="11"/>
      <c r="G15" s="11"/>
      <c r="H15" s="11"/>
      <c r="I15" s="11"/>
      <c r="J15" s="11"/>
      <c r="K15" s="11"/>
      <c r="L15" s="11"/>
      <c r="M15" s="12"/>
    </row>
    <row r="16" spans="1:13" ht="15.75">
      <c r="A16" s="85">
        <v>4</v>
      </c>
      <c r="B16" s="87">
        <f t="shared" si="3"/>
        <v>264045.42466416757</v>
      </c>
      <c r="C16" s="87">
        <f t="shared" si="0"/>
        <v>56034.470942171807</v>
      </c>
      <c r="D16" s="88">
        <f t="shared" si="1"/>
        <v>29044.996713058434</v>
      </c>
      <c r="E16" s="89">
        <f t="shared" si="2"/>
        <v>26989.474229113373</v>
      </c>
      <c r="F16" s="11"/>
      <c r="G16" s="11"/>
      <c r="H16" s="11"/>
      <c r="I16" s="11"/>
      <c r="J16" s="11"/>
      <c r="K16" s="11"/>
      <c r="L16" s="11"/>
      <c r="M16" s="12"/>
    </row>
    <row r="17" spans="1:13" ht="15.75">
      <c r="A17" s="85">
        <v>5</v>
      </c>
      <c r="B17" s="87">
        <f t="shared" si="3"/>
        <v>237055.9504350542</v>
      </c>
      <c r="C17" s="87">
        <f t="shared" si="0"/>
        <v>56034.470942171807</v>
      </c>
      <c r="D17" s="88">
        <f t="shared" si="1"/>
        <v>26076.15454785596</v>
      </c>
      <c r="E17" s="89">
        <f t="shared" si="2"/>
        <v>29958.316394315847</v>
      </c>
      <c r="F17" s="11"/>
      <c r="G17" s="11"/>
      <c r="H17" s="11"/>
      <c r="I17" s="11"/>
      <c r="J17" s="11"/>
      <c r="K17" s="91"/>
      <c r="L17" s="11"/>
      <c r="M17" s="12"/>
    </row>
    <row r="18" spans="1:13" ht="15.75">
      <c r="A18" s="85">
        <v>6</v>
      </c>
      <c r="B18" s="87">
        <f t="shared" si="3"/>
        <v>207097.63404073834</v>
      </c>
      <c r="C18" s="87">
        <f t="shared" si="0"/>
        <v>56034.470942171807</v>
      </c>
      <c r="D18" s="88">
        <f t="shared" si="1"/>
        <v>22780.739744481216</v>
      </c>
      <c r="E18" s="89">
        <f t="shared" si="2"/>
        <v>33253.731197690591</v>
      </c>
      <c r="F18" s="11"/>
      <c r="G18" s="11"/>
      <c r="H18" s="11"/>
      <c r="I18" s="11"/>
      <c r="J18" s="11"/>
      <c r="K18" s="92"/>
      <c r="L18" s="11"/>
      <c r="M18" s="12"/>
    </row>
    <row r="19" spans="1:13" ht="15.75">
      <c r="A19" s="85">
        <v>7</v>
      </c>
      <c r="B19" s="87">
        <f t="shared" si="3"/>
        <v>173843.90284304775</v>
      </c>
      <c r="C19" s="87">
        <f t="shared" si="0"/>
        <v>56034.470942171807</v>
      </c>
      <c r="D19" s="88">
        <f t="shared" si="1"/>
        <v>19122.829312735252</v>
      </c>
      <c r="E19" s="89">
        <f t="shared" si="2"/>
        <v>36911.641629436555</v>
      </c>
    </row>
    <row r="20" spans="1:13" ht="15.75">
      <c r="A20" s="85">
        <v>8</v>
      </c>
      <c r="B20" s="87">
        <f t="shared" si="3"/>
        <v>136932.2612136112</v>
      </c>
      <c r="C20" s="87">
        <f t="shared" si="0"/>
        <v>56034.470942171807</v>
      </c>
      <c r="D20" s="88">
        <f t="shared" si="1"/>
        <v>15062.548733497231</v>
      </c>
      <c r="E20" s="89">
        <f t="shared" si="2"/>
        <v>40971.922208674572</v>
      </c>
    </row>
    <row r="21" spans="1:13" ht="15.75">
      <c r="A21" s="85">
        <v>9</v>
      </c>
      <c r="B21" s="87">
        <f t="shared" si="3"/>
        <v>95960.339004936628</v>
      </c>
      <c r="C21" s="87">
        <f t="shared" si="0"/>
        <v>56034.470942171807</v>
      </c>
      <c r="D21" s="88">
        <f t="shared" si="1"/>
        <v>10555.637290543029</v>
      </c>
      <c r="E21" s="89">
        <f t="shared" si="2"/>
        <v>45478.833651628782</v>
      </c>
    </row>
    <row r="22" spans="1:13" ht="15.75">
      <c r="A22" s="85">
        <v>10</v>
      </c>
      <c r="B22" s="87">
        <f t="shared" si="3"/>
        <v>50481.505353307846</v>
      </c>
      <c r="C22" s="87">
        <f t="shared" si="0"/>
        <v>56034.470942171807</v>
      </c>
      <c r="D22" s="88">
        <f t="shared" si="1"/>
        <v>5552.9655888638636</v>
      </c>
      <c r="E22" s="89">
        <f t="shared" si="2"/>
        <v>50481.505353307941</v>
      </c>
    </row>
    <row r="23" spans="1:13">
      <c r="A23" s="93"/>
    </row>
    <row r="26" spans="1:13" ht="21.75" thickBot="1">
      <c r="A26" s="94" t="s">
        <v>56</v>
      </c>
    </row>
    <row r="27" spans="1:13">
      <c r="A27" s="44" t="s">
        <v>23</v>
      </c>
      <c r="B27" s="45">
        <v>1</v>
      </c>
      <c r="C27" s="45">
        <v>2</v>
      </c>
      <c r="D27" s="45">
        <v>3</v>
      </c>
      <c r="E27" s="45">
        <v>4</v>
      </c>
      <c r="F27" s="45">
        <v>5</v>
      </c>
      <c r="G27" s="45">
        <v>6</v>
      </c>
      <c r="H27" s="45">
        <v>7</v>
      </c>
      <c r="I27" s="45">
        <v>8</v>
      </c>
      <c r="J27" s="45">
        <v>9</v>
      </c>
      <c r="K27" s="46">
        <v>10</v>
      </c>
      <c r="L27" s="26"/>
      <c r="M27" s="12"/>
    </row>
    <row r="28" spans="1:13">
      <c r="A28" s="23" t="s">
        <v>24</v>
      </c>
      <c r="B28" s="33">
        <v>240000</v>
      </c>
      <c r="C28" s="33">
        <v>320000</v>
      </c>
      <c r="D28" s="33">
        <v>400000</v>
      </c>
      <c r="E28" s="33">
        <v>400000</v>
      </c>
      <c r="F28" s="33">
        <v>400000</v>
      </c>
      <c r="G28" s="33">
        <v>400000</v>
      </c>
      <c r="H28" s="33">
        <v>400000</v>
      </c>
      <c r="I28" s="33">
        <v>400000</v>
      </c>
      <c r="J28" s="33">
        <v>400000</v>
      </c>
      <c r="K28" s="33">
        <v>400000</v>
      </c>
      <c r="L28" s="37"/>
      <c r="M28" s="12"/>
    </row>
    <row r="29" spans="1:13">
      <c r="A29" s="23" t="s">
        <v>25</v>
      </c>
      <c r="B29" s="33">
        <v>26400</v>
      </c>
      <c r="C29" s="33">
        <v>95582.431381625312</v>
      </c>
      <c r="D29" s="33">
        <v>119478.03922703164</v>
      </c>
      <c r="E29" s="33">
        <v>119478.03922703164</v>
      </c>
      <c r="F29" s="33">
        <v>119478.03922703164</v>
      </c>
      <c r="G29" s="33">
        <v>119478.03922703164</v>
      </c>
      <c r="H29" s="33">
        <v>119478.03922703164</v>
      </c>
      <c r="I29" s="33">
        <v>119478.03922703164</v>
      </c>
      <c r="J29" s="33">
        <v>119478.03922703164</v>
      </c>
      <c r="K29" s="33">
        <v>119478.03922703164</v>
      </c>
      <c r="L29" s="37"/>
      <c r="M29" s="12"/>
    </row>
    <row r="30" spans="1:13">
      <c r="A30" s="23" t="s">
        <v>26</v>
      </c>
      <c r="B30" s="33">
        <v>11000</v>
      </c>
      <c r="C30" s="33">
        <v>13200</v>
      </c>
      <c r="D30" s="33">
        <v>15400</v>
      </c>
      <c r="E30" s="33">
        <v>15400</v>
      </c>
      <c r="F30" s="33">
        <v>15400</v>
      </c>
      <c r="G30" s="33">
        <v>15400</v>
      </c>
      <c r="H30" s="33">
        <v>15400</v>
      </c>
      <c r="I30" s="33">
        <v>15400</v>
      </c>
      <c r="J30" s="33">
        <v>15400</v>
      </c>
      <c r="K30" s="33">
        <v>15400</v>
      </c>
      <c r="L30" s="37"/>
      <c r="M30" s="12"/>
    </row>
    <row r="31" spans="1:13">
      <c r="A31" s="23" t="s">
        <v>27</v>
      </c>
      <c r="B31" s="33">
        <v>4800</v>
      </c>
      <c r="C31" s="33">
        <v>6400</v>
      </c>
      <c r="D31" s="33">
        <v>8000</v>
      </c>
      <c r="E31" s="33">
        <v>8000</v>
      </c>
      <c r="F31" s="33">
        <v>8000</v>
      </c>
      <c r="G31" s="33">
        <v>8000</v>
      </c>
      <c r="H31" s="33">
        <v>8000</v>
      </c>
      <c r="I31" s="33">
        <v>8000</v>
      </c>
      <c r="J31" s="33">
        <v>8000</v>
      </c>
      <c r="K31" s="33">
        <v>8000</v>
      </c>
      <c r="L31" s="37"/>
      <c r="M31" s="12"/>
    </row>
    <row r="32" spans="1:13">
      <c r="A32" s="47" t="s">
        <v>28</v>
      </c>
      <c r="B32" s="48">
        <f>(1+B73)*(+B28-(B29-B30+B31))</f>
        <v>219800</v>
      </c>
      <c r="C32" s="48">
        <f t="shared" ref="C32:K32" si="4">(1+C73)*(+C28-(C29-C30+C31))</f>
        <v>231217.5686183747</v>
      </c>
      <c r="D32" s="48">
        <f t="shared" si="4"/>
        <v>287921.96077296836</v>
      </c>
      <c r="E32" s="48">
        <f t="shared" si="4"/>
        <v>287921.96077296836</v>
      </c>
      <c r="F32" s="48">
        <f t="shared" si="4"/>
        <v>287921.96077296836</v>
      </c>
      <c r="G32" s="48">
        <f t="shared" si="4"/>
        <v>287921.96077296836</v>
      </c>
      <c r="H32" s="48">
        <f t="shared" si="4"/>
        <v>287921.96077296836</v>
      </c>
      <c r="I32" s="48">
        <f t="shared" si="4"/>
        <v>287921.96077296836</v>
      </c>
      <c r="J32" s="48">
        <f t="shared" si="4"/>
        <v>287921.96077296836</v>
      </c>
      <c r="K32" s="48">
        <f t="shared" si="4"/>
        <v>287921.96077296836</v>
      </c>
      <c r="L32" s="49"/>
      <c r="M32" s="50"/>
    </row>
    <row r="33" spans="1:13">
      <c r="A33" s="47" t="s">
        <v>29</v>
      </c>
      <c r="B33" s="48">
        <f>B34+B35</f>
        <v>100000</v>
      </c>
      <c r="C33" s="48">
        <f t="shared" ref="C33:K33" si="5">C34+C35</f>
        <v>120000</v>
      </c>
      <c r="D33" s="48">
        <f t="shared" si="5"/>
        <v>140000</v>
      </c>
      <c r="E33" s="48">
        <f t="shared" si="5"/>
        <v>140000</v>
      </c>
      <c r="F33" s="48">
        <f t="shared" si="5"/>
        <v>140000</v>
      </c>
      <c r="G33" s="48">
        <f t="shared" si="5"/>
        <v>140000</v>
      </c>
      <c r="H33" s="48">
        <f t="shared" si="5"/>
        <v>140000</v>
      </c>
      <c r="I33" s="48">
        <f t="shared" si="5"/>
        <v>140000</v>
      </c>
      <c r="J33" s="48">
        <f t="shared" si="5"/>
        <v>140000</v>
      </c>
      <c r="K33" s="48">
        <f t="shared" si="5"/>
        <v>140000</v>
      </c>
      <c r="L33" s="49"/>
      <c r="M33" s="12"/>
    </row>
    <row r="34" spans="1:13">
      <c r="A34" s="23" t="s">
        <v>30</v>
      </c>
      <c r="B34" s="33">
        <f>(1+B74)*60000</f>
        <v>60000</v>
      </c>
      <c r="C34" s="33">
        <f>(1+B74)*80000</f>
        <v>80000</v>
      </c>
      <c r="D34" s="33">
        <f>(1+B74)*100000</f>
        <v>100000</v>
      </c>
      <c r="E34" s="33">
        <f t="shared" ref="E34:K34" si="6">(1+C74)*100000</f>
        <v>100000</v>
      </c>
      <c r="F34" s="33">
        <f t="shared" si="6"/>
        <v>100000</v>
      </c>
      <c r="G34" s="33">
        <f t="shared" si="6"/>
        <v>100000</v>
      </c>
      <c r="H34" s="33">
        <f t="shared" si="6"/>
        <v>100000</v>
      </c>
      <c r="I34" s="33">
        <f t="shared" si="6"/>
        <v>100000</v>
      </c>
      <c r="J34" s="33">
        <f t="shared" si="6"/>
        <v>100000</v>
      </c>
      <c r="K34" s="33">
        <f t="shared" si="6"/>
        <v>100000</v>
      </c>
      <c r="L34" s="37"/>
      <c r="M34" s="12"/>
    </row>
    <row r="35" spans="1:13">
      <c r="A35" s="23" t="s">
        <v>31</v>
      </c>
      <c r="B35" s="33">
        <f>(1+B75)*40000</f>
        <v>40000</v>
      </c>
      <c r="C35" s="33">
        <f t="shared" ref="C35:K35" si="7">(1+C75)*40000</f>
        <v>40000</v>
      </c>
      <c r="D35" s="33">
        <f t="shared" si="7"/>
        <v>40000</v>
      </c>
      <c r="E35" s="33">
        <f t="shared" si="7"/>
        <v>40000</v>
      </c>
      <c r="F35" s="33">
        <f t="shared" si="7"/>
        <v>40000</v>
      </c>
      <c r="G35" s="33">
        <f t="shared" si="7"/>
        <v>40000</v>
      </c>
      <c r="H35" s="33">
        <f t="shared" si="7"/>
        <v>40000</v>
      </c>
      <c r="I35" s="33">
        <f t="shared" si="7"/>
        <v>40000</v>
      </c>
      <c r="J35" s="33">
        <f t="shared" si="7"/>
        <v>40000</v>
      </c>
      <c r="K35" s="33">
        <f t="shared" si="7"/>
        <v>40000</v>
      </c>
      <c r="L35" s="37"/>
      <c r="M35" s="12"/>
    </row>
    <row r="36" spans="1:13">
      <c r="A36" s="47" t="s">
        <v>32</v>
      </c>
      <c r="B36" s="48">
        <f>B37+B38</f>
        <v>83790</v>
      </c>
      <c r="C36" s="48">
        <f t="shared" ref="C36:K36" si="8">C37+C38</f>
        <v>81625.786353341828</v>
      </c>
      <c r="D36" s="48">
        <f t="shared" si="8"/>
        <v>79223.509205551236</v>
      </c>
      <c r="E36" s="48">
        <f t="shared" si="8"/>
        <v>76556.981571503711</v>
      </c>
      <c r="F36" s="48">
        <f t="shared" si="8"/>
        <v>73597.135897710948</v>
      </c>
      <c r="G36" s="48">
        <f t="shared" si="8"/>
        <v>70311.707199800963</v>
      </c>
      <c r="H36" s="48">
        <f t="shared" si="8"/>
        <v>66664.881345120899</v>
      </c>
      <c r="I36" s="48">
        <f t="shared" si="8"/>
        <v>62616.904646426025</v>
      </c>
      <c r="J36" s="48">
        <f t="shared" si="8"/>
        <v>58123.650510874715</v>
      </c>
      <c r="K36" s="48">
        <f t="shared" si="8"/>
        <v>53136.138420412761</v>
      </c>
      <c r="L36" s="49"/>
      <c r="M36" s="12"/>
    </row>
    <row r="37" spans="1:13">
      <c r="A37" s="23" t="s">
        <v>33</v>
      </c>
      <c r="B37" s="33">
        <v>47600</v>
      </c>
      <c r="C37" s="33">
        <v>47600</v>
      </c>
      <c r="D37" s="33">
        <v>47600</v>
      </c>
      <c r="E37" s="33">
        <v>47600</v>
      </c>
      <c r="F37" s="33">
        <v>47600</v>
      </c>
      <c r="G37" s="33">
        <v>47600</v>
      </c>
      <c r="H37" s="33">
        <v>47600</v>
      </c>
      <c r="I37" s="33">
        <v>47600</v>
      </c>
      <c r="J37" s="33">
        <v>47600</v>
      </c>
      <c r="K37" s="33">
        <v>47600</v>
      </c>
      <c r="L37" s="37"/>
      <c r="M37" s="12"/>
    </row>
    <row r="38" spans="1:13">
      <c r="A38" s="23" t="s">
        <v>57</v>
      </c>
      <c r="B38" s="33">
        <f>'Flujo '!C134</f>
        <v>36190</v>
      </c>
      <c r="C38" s="33">
        <f>'Flujo '!D134</f>
        <v>34025.78635334182</v>
      </c>
      <c r="D38" s="33">
        <f>'Flujo '!E134</f>
        <v>31623.509205551243</v>
      </c>
      <c r="E38" s="33">
        <f>'Flujo '!F134</f>
        <v>28956.981571503708</v>
      </c>
      <c r="F38" s="33">
        <f>'Flujo '!G134</f>
        <v>25997.135897710941</v>
      </c>
      <c r="G38" s="33">
        <f>'Flujo '!H134</f>
        <v>22711.707199800971</v>
      </c>
      <c r="H38" s="33">
        <f>'Flujo '!I134</f>
        <v>19064.881345120903</v>
      </c>
      <c r="I38" s="33">
        <f>'Flujo '!J134</f>
        <v>15016.904646426026</v>
      </c>
      <c r="J38" s="33">
        <f>'Flujo '!K134</f>
        <v>10523.650510874715</v>
      </c>
      <c r="K38" s="33">
        <f>'Flujo '!L134</f>
        <v>5536.1384204127589</v>
      </c>
      <c r="L38" s="37"/>
      <c r="M38" s="12"/>
    </row>
    <row r="39" spans="1:13">
      <c r="A39" s="47" t="s">
        <v>34</v>
      </c>
      <c r="B39" s="48">
        <f>B32-B33-B36</f>
        <v>36010</v>
      </c>
      <c r="C39" s="48">
        <f>'Flujo '!D135</f>
        <v>87174.213646658172</v>
      </c>
      <c r="D39" s="48">
        <f>'Flujo '!E135</f>
        <v>135776.49079444876</v>
      </c>
      <c r="E39" s="48">
        <f>'Flujo '!F135</f>
        <v>138443.01842849629</v>
      </c>
      <c r="F39" s="48">
        <f>'Flujo '!G135</f>
        <v>141402.86410228905</v>
      </c>
      <c r="G39" s="48">
        <f>'Flujo '!H135</f>
        <v>144688.29280019904</v>
      </c>
      <c r="H39" s="48">
        <f>'Flujo '!I135</f>
        <v>148335.1186548791</v>
      </c>
      <c r="I39" s="48">
        <f>'Flujo '!J135</f>
        <v>152383.09535357397</v>
      </c>
      <c r="J39" s="48">
        <f>'Flujo '!K135</f>
        <v>156876.34948912528</v>
      </c>
      <c r="K39" s="48">
        <f>'Flujo '!L135</f>
        <v>161863.86157958725</v>
      </c>
      <c r="L39" s="37"/>
      <c r="M39" s="12"/>
    </row>
    <row r="40" spans="1:13">
      <c r="A40" s="23" t="s">
        <v>35</v>
      </c>
      <c r="B40" s="33">
        <f>0.22*B39</f>
        <v>7922.2</v>
      </c>
      <c r="C40" s="33">
        <f>'Flujo '!D136</f>
        <v>19178.327002264799</v>
      </c>
      <c r="D40" s="33">
        <f>'Flujo '!E136</f>
        <v>29870.827974778727</v>
      </c>
      <c r="E40" s="33">
        <f>'Flujo '!F136</f>
        <v>30457.464054269185</v>
      </c>
      <c r="F40" s="33">
        <f>'Flujo '!G136</f>
        <v>31108.63010250359</v>
      </c>
      <c r="G40" s="33">
        <f>'Flujo '!H136</f>
        <v>31831.424416043788</v>
      </c>
      <c r="H40" s="33">
        <f>'Flujo '!I136</f>
        <v>32633.726104073401</v>
      </c>
      <c r="I40" s="33">
        <f>'Flujo '!J136</f>
        <v>33524.280977786271</v>
      </c>
      <c r="J40" s="33">
        <f>'Flujo '!K136</f>
        <v>34512.796887607561</v>
      </c>
      <c r="K40" s="33">
        <f>'Flujo '!L136</f>
        <v>35610.049547509196</v>
      </c>
      <c r="L40" s="49"/>
      <c r="M40" s="12"/>
    </row>
    <row r="41" spans="1:13" ht="15.75" thickBot="1">
      <c r="A41" s="52" t="s">
        <v>36</v>
      </c>
      <c r="B41" s="48">
        <f>B39-B40</f>
        <v>28087.8</v>
      </c>
      <c r="C41" s="48" t="e">
        <f>'Flujo '!#REF!</f>
        <v>#REF!</v>
      </c>
      <c r="D41" s="48" t="e">
        <f>'Flujo '!#REF!</f>
        <v>#REF!</v>
      </c>
      <c r="E41" s="48" t="e">
        <f>'Flujo '!#REF!</f>
        <v>#REF!</v>
      </c>
      <c r="F41" s="48" t="e">
        <f>'Flujo '!#REF!</f>
        <v>#REF!</v>
      </c>
      <c r="G41" s="48" t="e">
        <f>'Flujo '!#REF!</f>
        <v>#REF!</v>
      </c>
      <c r="H41" s="48" t="e">
        <f>'Flujo '!#REF!</f>
        <v>#REF!</v>
      </c>
      <c r="I41" s="48" t="e">
        <f>'Flujo '!#REF!</f>
        <v>#REF!</v>
      </c>
      <c r="J41" s="48" t="e">
        <f>'Flujo '!#REF!</f>
        <v>#REF!</v>
      </c>
      <c r="K41" s="48" t="e">
        <f>'Flujo '!#REF!</f>
        <v>#REF!</v>
      </c>
      <c r="L41" s="11"/>
      <c r="M41" s="12"/>
    </row>
    <row r="42" spans="1:13">
      <c r="A42" s="12"/>
      <c r="B42" s="11"/>
      <c r="C42" s="11"/>
      <c r="D42" s="11"/>
      <c r="E42" s="11"/>
      <c r="F42" s="11"/>
      <c r="G42" s="11"/>
      <c r="H42" s="11"/>
      <c r="I42" s="11"/>
      <c r="J42" s="11"/>
      <c r="K42" s="11"/>
      <c r="L42" s="11"/>
      <c r="M42" s="12"/>
    </row>
    <row r="43" spans="1:13" ht="18.75" thickBot="1">
      <c r="A43" s="54" t="s">
        <v>58</v>
      </c>
    </row>
    <row r="44" spans="1:13">
      <c r="A44" s="55" t="s">
        <v>12</v>
      </c>
      <c r="B44" s="56">
        <v>0</v>
      </c>
      <c r="C44" s="56">
        <v>1</v>
      </c>
      <c r="D44" s="56">
        <v>2</v>
      </c>
      <c r="E44" s="56">
        <v>3</v>
      </c>
      <c r="F44" s="56">
        <v>4</v>
      </c>
      <c r="G44" s="56">
        <v>5</v>
      </c>
      <c r="H44" s="56">
        <v>6</v>
      </c>
      <c r="I44" s="56">
        <v>7</v>
      </c>
      <c r="J44" s="56">
        <v>8</v>
      </c>
      <c r="K44" s="56">
        <v>9</v>
      </c>
      <c r="L44" s="57">
        <v>10</v>
      </c>
      <c r="M44" s="58"/>
    </row>
    <row r="45" spans="1:13">
      <c r="A45" s="59" t="s">
        <v>37</v>
      </c>
      <c r="B45" s="60">
        <f>(1+B72)*(-B5)</f>
        <v>-470000</v>
      </c>
      <c r="C45" s="60">
        <f>'Flujo '!D140</f>
        <v>0</v>
      </c>
      <c r="D45" s="60"/>
      <c r="E45" s="60"/>
      <c r="F45" s="60"/>
      <c r="G45" s="60"/>
      <c r="H45" s="60"/>
      <c r="I45" s="60"/>
      <c r="J45" s="60"/>
      <c r="K45" s="60"/>
      <c r="L45" s="60"/>
      <c r="M45" s="63"/>
    </row>
    <row r="46" spans="1:13">
      <c r="A46" s="59" t="s">
        <v>38</v>
      </c>
      <c r="B46" s="60">
        <f>'Flujo '!C142</f>
        <v>0</v>
      </c>
      <c r="C46" s="60">
        <f>B32</f>
        <v>219800</v>
      </c>
      <c r="D46" s="60">
        <f t="shared" ref="D46:L47" si="9">C32</f>
        <v>231217.5686183747</v>
      </c>
      <c r="E46" s="60">
        <f t="shared" si="9"/>
        <v>287921.96077296836</v>
      </c>
      <c r="F46" s="60">
        <f t="shared" si="9"/>
        <v>287921.96077296836</v>
      </c>
      <c r="G46" s="60">
        <f t="shared" si="9"/>
        <v>287921.96077296836</v>
      </c>
      <c r="H46" s="60">
        <f t="shared" si="9"/>
        <v>287921.96077296836</v>
      </c>
      <c r="I46" s="60">
        <f t="shared" si="9"/>
        <v>287921.96077296836</v>
      </c>
      <c r="J46" s="60">
        <f t="shared" si="9"/>
        <v>287921.96077296836</v>
      </c>
      <c r="K46" s="60">
        <f t="shared" si="9"/>
        <v>287921.96077296836</v>
      </c>
      <c r="L46" s="60">
        <f t="shared" si="9"/>
        <v>287921.96077296836</v>
      </c>
      <c r="M46" s="64"/>
    </row>
    <row r="47" spans="1:13">
      <c r="A47" s="59" t="s">
        <v>39</v>
      </c>
      <c r="B47" s="60">
        <f>'Flujo '!C143</f>
        <v>0</v>
      </c>
      <c r="C47" s="60">
        <f>B33</f>
        <v>100000</v>
      </c>
      <c r="D47" s="60">
        <f t="shared" si="9"/>
        <v>120000</v>
      </c>
      <c r="E47" s="60">
        <f t="shared" si="9"/>
        <v>140000</v>
      </c>
      <c r="F47" s="60">
        <f t="shared" si="9"/>
        <v>140000</v>
      </c>
      <c r="G47" s="60">
        <f t="shared" si="9"/>
        <v>140000</v>
      </c>
      <c r="H47" s="60">
        <f t="shared" si="9"/>
        <v>140000</v>
      </c>
      <c r="I47" s="60">
        <f t="shared" si="9"/>
        <v>140000</v>
      </c>
      <c r="J47" s="60">
        <f t="shared" si="9"/>
        <v>140000</v>
      </c>
      <c r="K47" s="60">
        <f t="shared" si="9"/>
        <v>140000</v>
      </c>
      <c r="L47" s="60">
        <f t="shared" si="9"/>
        <v>140000</v>
      </c>
      <c r="M47" s="64"/>
    </row>
    <row r="48" spans="1:13">
      <c r="A48" s="59" t="s">
        <v>57</v>
      </c>
      <c r="B48" s="60" t="e">
        <f>'Flujo '!#REF!</f>
        <v>#REF!</v>
      </c>
      <c r="C48" s="60">
        <f>B38</f>
        <v>36190</v>
      </c>
      <c r="D48" s="60">
        <f t="shared" ref="D48:L48" si="10">C38</f>
        <v>34025.78635334182</v>
      </c>
      <c r="E48" s="60">
        <f t="shared" si="10"/>
        <v>31623.509205551243</v>
      </c>
      <c r="F48" s="60">
        <f t="shared" si="10"/>
        <v>28956.981571503708</v>
      </c>
      <c r="G48" s="60">
        <f t="shared" si="10"/>
        <v>25997.135897710941</v>
      </c>
      <c r="H48" s="60">
        <f t="shared" si="10"/>
        <v>22711.707199800971</v>
      </c>
      <c r="I48" s="60">
        <f t="shared" si="10"/>
        <v>19064.881345120903</v>
      </c>
      <c r="J48" s="60">
        <f t="shared" si="10"/>
        <v>15016.904646426026</v>
      </c>
      <c r="K48" s="60">
        <f t="shared" si="10"/>
        <v>10523.650510874715</v>
      </c>
      <c r="L48" s="60">
        <f t="shared" si="10"/>
        <v>5536.1384204127589</v>
      </c>
      <c r="M48" s="64"/>
    </row>
    <row r="49" spans="1:13">
      <c r="A49" s="59" t="s">
        <v>40</v>
      </c>
      <c r="B49" s="60">
        <f>'Flujo '!C144</f>
        <v>0</v>
      </c>
      <c r="C49" s="60">
        <f>B40</f>
        <v>7922.2</v>
      </c>
      <c r="D49" s="60">
        <f t="shared" ref="D49:L49" si="11">C40</f>
        <v>19178.327002264799</v>
      </c>
      <c r="E49" s="60">
        <f t="shared" si="11"/>
        <v>29870.827974778727</v>
      </c>
      <c r="F49" s="60">
        <f t="shared" si="11"/>
        <v>30457.464054269185</v>
      </c>
      <c r="G49" s="60">
        <f t="shared" si="11"/>
        <v>31108.63010250359</v>
      </c>
      <c r="H49" s="60">
        <f t="shared" si="11"/>
        <v>31831.424416043788</v>
      </c>
      <c r="I49" s="60">
        <f t="shared" si="11"/>
        <v>32633.726104073401</v>
      </c>
      <c r="J49" s="60">
        <f t="shared" si="11"/>
        <v>33524.280977786271</v>
      </c>
      <c r="K49" s="60">
        <f t="shared" si="11"/>
        <v>34512.796887607561</v>
      </c>
      <c r="L49" s="60">
        <f t="shared" si="11"/>
        <v>35610.049547509196</v>
      </c>
      <c r="M49" s="64"/>
    </row>
    <row r="50" spans="1:13">
      <c r="A50" s="59" t="s">
        <v>41</v>
      </c>
      <c r="B50" s="60"/>
      <c r="C50" s="60"/>
      <c r="D50" s="60"/>
      <c r="E50" s="60"/>
      <c r="F50" s="60"/>
      <c r="G50" s="60"/>
      <c r="H50" s="60"/>
      <c r="I50" s="60"/>
      <c r="J50" s="60"/>
      <c r="K50" s="60"/>
      <c r="L50" s="60">
        <f>'Flujo '!M145</f>
        <v>157000</v>
      </c>
      <c r="M50" s="65"/>
    </row>
    <row r="51" spans="1:13">
      <c r="A51" s="95" t="s">
        <v>59</v>
      </c>
      <c r="B51" s="60">
        <f>B6</f>
        <v>330000</v>
      </c>
      <c r="C51" s="60"/>
      <c r="D51" s="60"/>
      <c r="E51" s="60"/>
      <c r="F51" s="60"/>
      <c r="G51" s="60"/>
      <c r="H51" s="60"/>
      <c r="I51" s="60"/>
      <c r="J51" s="60"/>
      <c r="K51" s="60"/>
      <c r="L51" s="60"/>
      <c r="M51" s="96"/>
    </row>
    <row r="52" spans="1:13">
      <c r="A52" s="95" t="s">
        <v>55</v>
      </c>
      <c r="B52" s="60">
        <f>'Flujo '!C148</f>
        <v>0</v>
      </c>
      <c r="C52" s="60">
        <f>E13</f>
        <v>19734.470942171807</v>
      </c>
      <c r="D52" s="60">
        <f>E14</f>
        <v>21905.262745810709</v>
      </c>
      <c r="E52" s="60">
        <f>E15</f>
        <v>24314.841647849888</v>
      </c>
      <c r="F52" s="60">
        <f>E16</f>
        <v>26989.474229113373</v>
      </c>
      <c r="G52" s="60">
        <f>E17</f>
        <v>29958.316394315847</v>
      </c>
      <c r="H52" s="60">
        <f>E18</f>
        <v>33253.731197690591</v>
      </c>
      <c r="I52" s="60">
        <f>E19</f>
        <v>36911.641629436555</v>
      </c>
      <c r="J52" s="60">
        <f>E20</f>
        <v>40971.922208674572</v>
      </c>
      <c r="K52" s="60">
        <f>E21</f>
        <v>45478.833651628782</v>
      </c>
      <c r="L52" s="60">
        <f>E22</f>
        <v>50481.505353307941</v>
      </c>
      <c r="M52" s="96"/>
    </row>
    <row r="53" spans="1:13" ht="15.75" thickBot="1">
      <c r="A53" s="66" t="s">
        <v>42</v>
      </c>
      <c r="B53" s="60" t="e">
        <f>B46+B45-B47-B48-B49+B50+B51-B52</f>
        <v>#REF!</v>
      </c>
      <c r="C53" s="60">
        <f>C46-C45-C47-C48-C49+C50-C52</f>
        <v>55953.329057828196</v>
      </c>
      <c r="D53" s="60">
        <f t="shared" ref="D53:L53" si="12">D46-D45-D47-D48-D49+D50-D52</f>
        <v>36108.192516957366</v>
      </c>
      <c r="E53" s="60">
        <f t="shared" si="12"/>
        <v>62112.781944788512</v>
      </c>
      <c r="F53" s="60">
        <f t="shared" si="12"/>
        <v>61518.040918082086</v>
      </c>
      <c r="G53" s="60">
        <f t="shared" si="12"/>
        <v>60857.878378437978</v>
      </c>
      <c r="H53" s="60">
        <f t="shared" si="12"/>
        <v>60125.097959433013</v>
      </c>
      <c r="I53" s="60">
        <f t="shared" si="12"/>
        <v>59311.711694337508</v>
      </c>
      <c r="J53" s="60">
        <f t="shared" si="12"/>
        <v>58408.852940081488</v>
      </c>
      <c r="K53" s="60">
        <f t="shared" si="12"/>
        <v>57406.679722857298</v>
      </c>
      <c r="L53" s="60">
        <f t="shared" si="12"/>
        <v>213294.26745173847</v>
      </c>
      <c r="M53" s="67"/>
    </row>
    <row r="54" spans="1:13">
      <c r="B54" s="97"/>
      <c r="C54" s="97"/>
      <c r="D54" s="97"/>
      <c r="E54" s="97"/>
      <c r="F54" s="97"/>
      <c r="G54" s="97"/>
      <c r="H54" s="97"/>
      <c r="I54" s="97"/>
      <c r="J54" s="97"/>
      <c r="K54" s="97"/>
      <c r="L54" s="97"/>
    </row>
    <row r="55" spans="1:13">
      <c r="B55" s="97"/>
      <c r="C55" s="97"/>
      <c r="D55" s="97"/>
      <c r="E55" s="97"/>
      <c r="F55" s="97"/>
      <c r="G55" s="97"/>
      <c r="H55" s="97"/>
      <c r="I55" s="97"/>
      <c r="J55" s="97"/>
      <c r="K55" s="97"/>
      <c r="L55" s="97"/>
    </row>
    <row r="56" spans="1:13" ht="15.75" thickBot="1">
      <c r="A56" s="72" t="s">
        <v>100</v>
      </c>
      <c r="B56" s="97"/>
      <c r="C56" s="97"/>
      <c r="D56" s="97"/>
      <c r="E56" s="136" t="s">
        <v>101</v>
      </c>
      <c r="F56" s="97"/>
      <c r="G56" s="97"/>
      <c r="H56" s="97"/>
      <c r="I56" s="97"/>
      <c r="J56" s="97"/>
      <c r="K56" s="97"/>
      <c r="L56" s="97"/>
    </row>
    <row r="57" spans="1:13" ht="15.75">
      <c r="A57" s="123" t="s">
        <v>43</v>
      </c>
      <c r="B57" s="139" t="e">
        <f>NPV(B58, C53:L53)+B53</f>
        <v>#REF!</v>
      </c>
      <c r="C57" s="97"/>
      <c r="D57" s="97"/>
      <c r="E57" s="137" t="s">
        <v>37</v>
      </c>
      <c r="F57" s="130">
        <f>-+B45</f>
        <v>470000</v>
      </c>
      <c r="G57" s="97"/>
      <c r="H57" s="97"/>
      <c r="I57" s="97"/>
      <c r="J57" s="97"/>
      <c r="K57" s="97"/>
      <c r="L57" s="97"/>
    </row>
    <row r="58" spans="1:13" ht="15.75">
      <c r="A58" s="121" t="s">
        <v>70</v>
      </c>
      <c r="B58" s="125">
        <f>+F64</f>
        <v>0.1378723404255319</v>
      </c>
      <c r="C58" s="97"/>
      <c r="E58" s="138" t="s">
        <v>60</v>
      </c>
      <c r="F58" s="132">
        <f>+B51</f>
        <v>330000</v>
      </c>
      <c r="G58" s="97"/>
      <c r="H58" s="97"/>
      <c r="I58" s="97"/>
      <c r="J58" s="97"/>
      <c r="K58" s="97"/>
      <c r="L58" s="97"/>
    </row>
    <row r="59" spans="1:13" ht="15.75">
      <c r="A59" s="121" t="s">
        <v>44</v>
      </c>
      <c r="B59" s="126" t="e">
        <f>IRR(B53:M53, 17%)</f>
        <v>#VALUE!</v>
      </c>
      <c r="C59" s="97"/>
      <c r="E59" s="138" t="s">
        <v>61</v>
      </c>
      <c r="F59" s="132">
        <f>+F57-F58</f>
        <v>140000</v>
      </c>
      <c r="G59" s="97"/>
      <c r="H59" s="97"/>
      <c r="I59" s="97"/>
      <c r="J59" s="97"/>
      <c r="K59" s="97"/>
      <c r="L59" s="97"/>
    </row>
    <row r="60" spans="1:13" ht="15.75">
      <c r="A60" s="124" t="s">
        <v>37</v>
      </c>
      <c r="B60" s="127">
        <f>+-B45</f>
        <v>470000</v>
      </c>
      <c r="C60" s="97"/>
      <c r="E60" s="138" t="s">
        <v>66</v>
      </c>
      <c r="F60" s="133">
        <f>+F58/F57</f>
        <v>0.7021276595744681</v>
      </c>
      <c r="G60" s="97"/>
      <c r="H60" s="97"/>
      <c r="I60" s="97"/>
      <c r="J60" s="97"/>
      <c r="K60" s="97"/>
      <c r="L60" s="97"/>
    </row>
    <row r="61" spans="1:13" ht="15.75">
      <c r="A61" s="121"/>
      <c r="B61" s="128"/>
      <c r="C61" s="97"/>
      <c r="E61" s="138" t="s">
        <v>67</v>
      </c>
      <c r="F61" s="133">
        <f>+F59/F57</f>
        <v>0.2978723404255319</v>
      </c>
      <c r="G61" s="97"/>
      <c r="H61" s="97"/>
      <c r="I61" s="97"/>
      <c r="J61" s="97"/>
      <c r="K61" s="97"/>
      <c r="L61" s="97"/>
    </row>
    <row r="62" spans="1:13" ht="15.75">
      <c r="A62" s="121" t="s">
        <v>73</v>
      </c>
      <c r="B62" s="128" t="e">
        <f>+B57/B60</f>
        <v>#REF!</v>
      </c>
      <c r="E62" s="138" t="s">
        <v>68</v>
      </c>
      <c r="F62" s="134">
        <v>0.12</v>
      </c>
    </row>
    <row r="63" spans="1:13" ht="15.75">
      <c r="A63" s="121" t="s">
        <v>64</v>
      </c>
      <c r="B63" s="127">
        <f>NPV(B58,C53:L53)</f>
        <v>336895.02271766763</v>
      </c>
      <c r="C63" s="97"/>
      <c r="E63" s="138" t="s">
        <v>69</v>
      </c>
      <c r="F63" s="134">
        <v>0.18</v>
      </c>
      <c r="G63" s="97"/>
      <c r="H63" s="97"/>
      <c r="I63" s="97"/>
      <c r="J63" s="97"/>
      <c r="K63" s="97"/>
      <c r="L63" s="97"/>
    </row>
    <row r="64" spans="1:13" ht="15.75">
      <c r="A64" s="121" t="s">
        <v>65</v>
      </c>
      <c r="B64" s="127" t="e">
        <f>-+B53</f>
        <v>#REF!</v>
      </c>
      <c r="E64" s="138" t="s">
        <v>71</v>
      </c>
      <c r="F64" s="135">
        <f>+(F60*F62)+(F61*F63)</f>
        <v>0.1378723404255319</v>
      </c>
      <c r="G64" s="98"/>
    </row>
    <row r="65" spans="1:10" ht="15.75" thickBot="1">
      <c r="A65" s="122" t="s">
        <v>74</v>
      </c>
      <c r="B65" s="129" t="e">
        <f>+B63/B64</f>
        <v>#REF!</v>
      </c>
      <c r="E65" s="131"/>
      <c r="F65" s="134"/>
      <c r="G65" s="98"/>
      <c r="J65" s="98"/>
    </row>
    <row r="68" spans="1:10" ht="15.75">
      <c r="A68" s="142" t="s">
        <v>75</v>
      </c>
    </row>
    <row r="69" spans="1:10" ht="15.75">
      <c r="A69" s="142"/>
    </row>
    <row r="70" spans="1:10">
      <c r="A70" s="299" t="s">
        <v>102</v>
      </c>
      <c r="B70" s="299"/>
      <c r="C70" s="299"/>
    </row>
    <row r="71" spans="1:10">
      <c r="A71" s="149" t="s">
        <v>92</v>
      </c>
      <c r="B71" s="148" t="s">
        <v>79</v>
      </c>
      <c r="C71" s="148" t="s">
        <v>72</v>
      </c>
    </row>
    <row r="72" spans="1:10">
      <c r="A72" s="143" t="s">
        <v>76</v>
      </c>
      <c r="B72" s="146">
        <v>0</v>
      </c>
      <c r="C72" s="301" t="e">
        <f>B57</f>
        <v>#REF!</v>
      </c>
    </row>
    <row r="73" spans="1:10">
      <c r="A73" s="143" t="s">
        <v>77</v>
      </c>
      <c r="B73" s="146">
        <v>0</v>
      </c>
      <c r="C73" s="302"/>
    </row>
    <row r="74" spans="1:10">
      <c r="A74" s="143" t="s">
        <v>84</v>
      </c>
      <c r="B74" s="146">
        <v>0</v>
      </c>
      <c r="C74" s="302"/>
    </row>
    <row r="75" spans="1:10">
      <c r="A75" s="143" t="s">
        <v>85</v>
      </c>
      <c r="B75" s="146">
        <v>0</v>
      </c>
      <c r="C75" s="302"/>
    </row>
    <row r="76" spans="1:10">
      <c r="A76" s="143" t="s">
        <v>78</v>
      </c>
      <c r="B76" s="146">
        <v>0</v>
      </c>
      <c r="C76" s="303"/>
    </row>
    <row r="77" spans="1:10">
      <c r="F77" s="299" t="s">
        <v>104</v>
      </c>
      <c r="G77" s="299"/>
      <c r="H77" s="299"/>
    </row>
    <row r="78" spans="1:10">
      <c r="A78" s="299" t="s">
        <v>103</v>
      </c>
      <c r="B78" s="299"/>
      <c r="C78" s="299"/>
      <c r="F78" s="300" t="s">
        <v>72</v>
      </c>
      <c r="G78" s="300"/>
      <c r="H78" s="300"/>
    </row>
    <row r="79" spans="1:10">
      <c r="A79" s="149" t="s">
        <v>92</v>
      </c>
      <c r="B79" s="144" t="s">
        <v>80</v>
      </c>
      <c r="C79" s="144">
        <v>0</v>
      </c>
      <c r="D79" s="144" t="s">
        <v>83</v>
      </c>
      <c r="E79" s="140"/>
      <c r="F79" s="144" t="s">
        <v>86</v>
      </c>
      <c r="G79" s="144" t="s">
        <v>87</v>
      </c>
      <c r="H79" s="150" t="s">
        <v>88</v>
      </c>
    </row>
    <row r="80" spans="1:10">
      <c r="A80" s="143" t="s">
        <v>76</v>
      </c>
      <c r="B80" s="147">
        <v>245942</v>
      </c>
      <c r="C80" s="147">
        <v>142994</v>
      </c>
      <c r="D80" s="147">
        <v>34781</v>
      </c>
      <c r="E80" s="152" t="s">
        <v>37</v>
      </c>
      <c r="F80" s="151">
        <f>(B80-C80)/C80</f>
        <v>0.71994629145278821</v>
      </c>
      <c r="G80" s="151">
        <f>(D80-C80)/C80</f>
        <v>-0.75676601815460787</v>
      </c>
      <c r="H80" s="145" t="s">
        <v>89</v>
      </c>
    </row>
    <row r="81" spans="1:8">
      <c r="A81" s="143" t="s">
        <v>77</v>
      </c>
      <c r="B81" s="147">
        <v>127927</v>
      </c>
      <c r="C81" s="147">
        <v>142994</v>
      </c>
      <c r="D81" s="147">
        <v>158061</v>
      </c>
      <c r="E81" s="152" t="s">
        <v>38</v>
      </c>
      <c r="F81" s="151">
        <f t="shared" ref="F81:F84" si="13">(B81-C81)/C81</f>
        <v>-0.10536805740100984</v>
      </c>
      <c r="G81" s="151">
        <f t="shared" ref="G81:G84" si="14">(D81-C81)/C81</f>
        <v>0.10536805740100984</v>
      </c>
      <c r="H81" s="145" t="s">
        <v>90</v>
      </c>
    </row>
    <row r="82" spans="1:8">
      <c r="A82" s="143" t="s">
        <v>84</v>
      </c>
      <c r="B82" s="147">
        <v>160073</v>
      </c>
      <c r="C82" s="147">
        <v>142994</v>
      </c>
      <c r="D82" s="147">
        <v>125915</v>
      </c>
      <c r="E82" s="152" t="s">
        <v>30</v>
      </c>
      <c r="F82" s="151">
        <f t="shared" si="13"/>
        <v>0.11943857784242695</v>
      </c>
      <c r="G82" s="151">
        <f t="shared" si="14"/>
        <v>-0.11943857784242695</v>
      </c>
      <c r="H82" s="145" t="s">
        <v>90</v>
      </c>
    </row>
    <row r="83" spans="1:8">
      <c r="A83" s="143" t="s">
        <v>85</v>
      </c>
      <c r="B83" s="147">
        <v>145736</v>
      </c>
      <c r="C83" s="147">
        <v>142994</v>
      </c>
      <c r="D83" s="147">
        <v>140252</v>
      </c>
      <c r="E83" s="152" t="s">
        <v>93</v>
      </c>
      <c r="F83" s="151">
        <f t="shared" si="13"/>
        <v>1.9175629746702658E-2</v>
      </c>
      <c r="G83" s="151">
        <f t="shared" si="14"/>
        <v>-1.9175629746702658E-2</v>
      </c>
      <c r="H83" s="145" t="s">
        <v>91</v>
      </c>
    </row>
    <row r="84" spans="1:8">
      <c r="A84" s="143" t="s">
        <v>78</v>
      </c>
      <c r="B84" s="147">
        <v>141356</v>
      </c>
      <c r="C84" s="147">
        <v>142994</v>
      </c>
      <c r="D84" s="147">
        <v>144593</v>
      </c>
      <c r="E84" s="152" t="s">
        <v>94</v>
      </c>
      <c r="F84" s="151">
        <f t="shared" si="13"/>
        <v>-1.1455026085010559E-2</v>
      </c>
      <c r="G84" s="151">
        <f t="shared" si="14"/>
        <v>1.1182287368700784E-2</v>
      </c>
      <c r="H84" s="145" t="s">
        <v>91</v>
      </c>
    </row>
    <row r="87" spans="1:8">
      <c r="A87" s="299" t="s">
        <v>95</v>
      </c>
      <c r="B87" s="299"/>
      <c r="C87" s="299"/>
      <c r="D87" s="299"/>
      <c r="F87" s="300" t="s">
        <v>72</v>
      </c>
      <c r="G87" s="300"/>
      <c r="H87" s="300"/>
    </row>
    <row r="88" spans="1:8">
      <c r="A88" s="149" t="s">
        <v>92</v>
      </c>
      <c r="B88" s="144" t="s">
        <v>81</v>
      </c>
      <c r="C88" s="144">
        <v>0</v>
      </c>
      <c r="D88" s="144" t="s">
        <v>82</v>
      </c>
      <c r="E88" s="140"/>
      <c r="F88" s="144" t="s">
        <v>86</v>
      </c>
      <c r="G88" s="144" t="s">
        <v>87</v>
      </c>
      <c r="H88" s="150" t="s">
        <v>88</v>
      </c>
    </row>
    <row r="89" spans="1:8">
      <c r="A89" s="143" t="s">
        <v>76</v>
      </c>
      <c r="B89" s="147"/>
      <c r="C89" s="147">
        <v>142994</v>
      </c>
      <c r="D89" s="147"/>
      <c r="E89" s="152" t="s">
        <v>37</v>
      </c>
      <c r="F89" s="151">
        <f>(B89-C89)/C89</f>
        <v>-1</v>
      </c>
      <c r="G89" s="151">
        <f>(D89-C89)/C89</f>
        <v>-1</v>
      </c>
      <c r="H89" s="145" t="s">
        <v>89</v>
      </c>
    </row>
    <row r="90" spans="1:8">
      <c r="A90" s="143" t="s">
        <v>77</v>
      </c>
      <c r="B90" s="147"/>
      <c r="C90" s="147">
        <v>142994</v>
      </c>
      <c r="D90" s="147"/>
      <c r="E90" s="152" t="s">
        <v>38</v>
      </c>
      <c r="F90" s="151">
        <f t="shared" ref="F90:F93" si="15">(B90-C90)/C90</f>
        <v>-1</v>
      </c>
      <c r="G90" s="151">
        <f t="shared" ref="G90:G93" si="16">(D90-C90)/C90</f>
        <v>-1</v>
      </c>
      <c r="H90" s="145" t="s">
        <v>90</v>
      </c>
    </row>
    <row r="91" spans="1:8">
      <c r="A91" s="143" t="s">
        <v>84</v>
      </c>
      <c r="B91" s="147"/>
      <c r="C91" s="147">
        <v>142994</v>
      </c>
      <c r="D91" s="147"/>
      <c r="E91" s="152" t="s">
        <v>30</v>
      </c>
      <c r="F91" s="151">
        <f t="shared" si="15"/>
        <v>-1</v>
      </c>
      <c r="G91" s="151">
        <f t="shared" si="16"/>
        <v>-1</v>
      </c>
      <c r="H91" s="145" t="s">
        <v>90</v>
      </c>
    </row>
    <row r="92" spans="1:8">
      <c r="A92" s="143" t="s">
        <v>85</v>
      </c>
      <c r="B92" s="147"/>
      <c r="C92" s="147">
        <v>142994</v>
      </c>
      <c r="D92" s="147"/>
      <c r="E92" s="152" t="s">
        <v>93</v>
      </c>
      <c r="F92" s="151">
        <f t="shared" si="15"/>
        <v>-1</v>
      </c>
      <c r="G92" s="151">
        <f t="shared" si="16"/>
        <v>-1</v>
      </c>
      <c r="H92" s="145" t="s">
        <v>91</v>
      </c>
    </row>
    <row r="93" spans="1:8">
      <c r="A93" s="143" t="s">
        <v>78</v>
      </c>
      <c r="B93" s="147"/>
      <c r="C93" s="147">
        <v>142994</v>
      </c>
      <c r="D93" s="147"/>
      <c r="E93" s="152" t="s">
        <v>94</v>
      </c>
      <c r="F93" s="151">
        <f t="shared" si="15"/>
        <v>-1</v>
      </c>
      <c r="G93" s="151">
        <f t="shared" si="16"/>
        <v>-1</v>
      </c>
      <c r="H93" s="145" t="s">
        <v>91</v>
      </c>
    </row>
    <row r="95" spans="1:8">
      <c r="A95" s="141" t="s">
        <v>96</v>
      </c>
    </row>
    <row r="96" spans="1:8">
      <c r="A96" s="298" t="s">
        <v>105</v>
      </c>
      <c r="B96" s="298"/>
      <c r="C96" s="298"/>
      <c r="D96" s="298"/>
      <c r="E96" s="298"/>
      <c r="F96" s="298"/>
      <c r="G96" s="298"/>
      <c r="H96" s="298"/>
    </row>
    <row r="97" spans="1:8" ht="50.25" customHeight="1">
      <c r="A97" s="297" t="s">
        <v>106</v>
      </c>
      <c r="B97" s="297"/>
      <c r="C97" s="297"/>
      <c r="D97" s="297"/>
      <c r="E97" s="297"/>
      <c r="F97" s="297"/>
      <c r="G97" s="297"/>
      <c r="H97" s="297"/>
    </row>
    <row r="98" spans="1:8" ht="29.25" customHeight="1">
      <c r="A98" s="297" t="s">
        <v>108</v>
      </c>
      <c r="B98" s="297"/>
      <c r="C98" s="297"/>
      <c r="D98" s="297"/>
      <c r="E98" s="297"/>
      <c r="F98" s="297"/>
      <c r="G98" s="297"/>
      <c r="H98" s="297"/>
    </row>
    <row r="99" spans="1:8">
      <c r="A99" t="s">
        <v>107</v>
      </c>
    </row>
    <row r="100" spans="1:8">
      <c r="A100" t="s">
        <v>97</v>
      </c>
    </row>
    <row r="101" spans="1:8" ht="28.5" customHeight="1">
      <c r="A101" s="297" t="s">
        <v>98</v>
      </c>
      <c r="B101" s="297"/>
      <c r="C101" s="297"/>
      <c r="D101" s="297"/>
      <c r="E101" s="297"/>
      <c r="F101" s="297"/>
      <c r="G101" s="297"/>
      <c r="H101" s="297"/>
    </row>
    <row r="103" spans="1:8">
      <c r="A103" s="298" t="s">
        <v>99</v>
      </c>
      <c r="B103" s="298"/>
      <c r="C103" s="298"/>
      <c r="D103" s="298"/>
      <c r="E103" s="298"/>
      <c r="F103" s="298"/>
      <c r="G103" s="298"/>
      <c r="H103" s="298"/>
    </row>
  </sheetData>
  <mergeCells count="12">
    <mergeCell ref="A101:H101"/>
    <mergeCell ref="A103:H103"/>
    <mergeCell ref="A70:C70"/>
    <mergeCell ref="A78:C78"/>
    <mergeCell ref="F77:H77"/>
    <mergeCell ref="F78:H78"/>
    <mergeCell ref="C72:C76"/>
    <mergeCell ref="F87:H87"/>
    <mergeCell ref="A87:D87"/>
    <mergeCell ref="A97:H97"/>
    <mergeCell ref="A98:H98"/>
    <mergeCell ref="A96:H9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Flujo </vt:lpstr>
      <vt:lpstr>Análisis Sensibilidad</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Marlon Velasquez</dc:creator>
  <cp:lastModifiedBy>abustamante</cp:lastModifiedBy>
  <dcterms:created xsi:type="dcterms:W3CDTF">2013-01-19T16:31:04Z</dcterms:created>
  <dcterms:modified xsi:type="dcterms:W3CDTF">2014-12-15T17:32:41Z</dcterms:modified>
</cp:coreProperties>
</file>